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ract Abstraction" sheetId="1" state="visible" r:id="rId3"/>
    <sheet name="Billing Report" sheetId="2" state="visible" r:id="rId4"/>
    <sheet name="RMR Summary" sheetId="3" state="visible" r:id="rId5"/>
    <sheet name="Flags" sheetId="4" state="visible" r:id="rId6"/>
    <sheet name="Controls" sheetId="5" state="visible" r:id="rId7"/>
    <sheet name="Review Notes" sheetId="6" state="visible" r:id="rId8"/>
    <sheet name="Settings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<sst xmlns="http://schemas.openxmlformats.org/spreadsheetml/2006/main" count="293" uniqueCount="149">
  <si>
    <t xml:space="preserve">Contract abstraction template - one row per contract, entered by hand from the on-screen contract</t>
  </si>
  <si>
    <t xml:space="preserve">Sample project built to show the approach</t>
  </si>
  <si>
    <t xml:space="preserve">Customer</t>
  </si>
  <si>
    <t xml:space="preserve">Service address</t>
  </si>
  <si>
    <t xml:space="preserve">Res/Com</t>
  </si>
  <si>
    <t xml:space="preserve">Contract type</t>
  </si>
  <si>
    <t xml:space="preserve">Billing amount</t>
  </si>
  <si>
    <t xml:space="preserve">Frequency</t>
  </si>
  <si>
    <t xml:space="preserve">Payment method</t>
  </si>
  <si>
    <t xml:space="preserve">Start date</t>
  </si>
  <si>
    <t xml:space="preserve">Initial term (m)</t>
  </si>
  <si>
    <t xml:space="preserve">Auto-renew</t>
  </si>
  <si>
    <t xml:space="preserve">Renewal term (m)</t>
  </si>
  <si>
    <t xml:space="preserve">Cancel notice (days)</t>
  </si>
  <si>
    <t xml:space="preserve">Escalation</t>
  </si>
  <si>
    <t xml:space="preserve">Assignable</t>
  </si>
  <si>
    <t xml:space="preserve">Signed &amp; complete</t>
  </si>
  <si>
    <t xml:space="preserve">Cancellation clause</t>
  </si>
  <si>
    <t xml:space="preserve">Billed / month (billing report)</t>
  </si>
  <si>
    <t xml:space="preserve">AR 90+ days</t>
  </si>
  <si>
    <t xml:space="preserve">Promo / free</t>
  </si>
  <si>
    <t xml:space="preserve">Reviewer notes</t>
  </si>
  <si>
    <t xml:space="preserve">Monthly RMR</t>
  </si>
  <si>
    <t xml:space="preserve">Initial expiry</t>
  </si>
  <si>
    <t xml:space="preserve">Current term end</t>
  </si>
  <si>
    <t xml:space="preserve">Term status</t>
  </si>
  <si>
    <t xml:space="preserve">Expires in window</t>
  </si>
  <si>
    <t xml:space="preserve">Billing diff</t>
  </si>
  <si>
    <t xml:space="preserve">Flags</t>
  </si>
  <si>
    <t xml:space="preserve">Qualified RMR</t>
  </si>
  <si>
    <t xml:space="preserve">Customer A</t>
  </si>
  <si>
    <t xml:space="preserve">Address 1</t>
  </si>
  <si>
    <t xml:space="preserve">Residential</t>
  </si>
  <si>
    <t xml:space="preserve">Monitoring</t>
  </si>
  <si>
    <t xml:space="preserve">Monthly</t>
  </si>
  <si>
    <t xml:space="preserve">Auto-pay</t>
  </si>
  <si>
    <t xml:space="preserve">Yes</t>
  </si>
  <si>
    <t xml:space="preserve">3% yearly</t>
  </si>
  <si>
    <t xml:space="preserve">30 days written notice before renewal</t>
  </si>
  <si>
    <t xml:space="preserve">No</t>
  </si>
  <si>
    <t xml:space="preserve">Customer B</t>
  </si>
  <si>
    <t xml:space="preserve">Address 2</t>
  </si>
  <si>
    <t xml:space="preserve">Commercial</t>
  </si>
  <si>
    <t xml:space="preserve">Fire</t>
  </si>
  <si>
    <t xml:space="preserve">Quarterly</t>
  </si>
  <si>
    <t xml:space="preserve">Manual</t>
  </si>
  <si>
    <t xml:space="preserve">60 days written notice</t>
  </si>
  <si>
    <t xml:space="preserve">Customer C</t>
  </si>
  <si>
    <t xml:space="preserve">Address 3</t>
  </si>
  <si>
    <t xml:space="preserve">Video</t>
  </si>
  <si>
    <t xml:space="preserve">None</t>
  </si>
  <si>
    <t xml:space="preserve">30 days notice</t>
  </si>
  <si>
    <t xml:space="preserve">Term ended; still billing</t>
  </si>
  <si>
    <t xml:space="preserve">Customer D</t>
  </si>
  <si>
    <t xml:space="preserve">Address 4</t>
  </si>
  <si>
    <t xml:space="preserve">Cancellation clause page missing</t>
  </si>
  <si>
    <t xml:space="preserve">Customer E</t>
  </si>
  <si>
    <t xml:space="preserve">Address 5</t>
  </si>
  <si>
    <t xml:space="preserve">Access control</t>
  </si>
  <si>
    <t xml:space="preserve">Annual</t>
  </si>
  <si>
    <t xml:space="preserve">Per CPI (index not stated)</t>
  </si>
  <si>
    <t xml:space="preserve">90 days notice</t>
  </si>
  <si>
    <t xml:space="preserve">Not assignable without consent</t>
  </si>
  <si>
    <t xml:space="preserve">Customer F</t>
  </si>
  <si>
    <t xml:space="preserve">Address 6</t>
  </si>
  <si>
    <t xml:space="preserve">Signature page unsigned</t>
  </si>
  <si>
    <t xml:space="preserve">Customer G</t>
  </si>
  <si>
    <t xml:space="preserve">Address 7</t>
  </si>
  <si>
    <t xml:space="preserve">5% at renewal</t>
  </si>
  <si>
    <t xml:space="preserve">Customer H</t>
  </si>
  <si>
    <t xml:space="preserve">Address 8</t>
  </si>
  <si>
    <t xml:space="preserve">Cellular</t>
  </si>
  <si>
    <t xml:space="preserve">First 12 months free (promo)</t>
  </si>
  <si>
    <t xml:space="preserve">Customer I</t>
  </si>
  <si>
    <t xml:space="preserve">Address 9</t>
  </si>
  <si>
    <t xml:space="preserve">Inspection</t>
  </si>
  <si>
    <t xml:space="preserve">60 days notice</t>
  </si>
  <si>
    <t xml:space="preserve">Customer J</t>
  </si>
  <si>
    <t xml:space="preserve">Address 10</t>
  </si>
  <si>
    <t xml:space="preserve">Billed differs from contract</t>
  </si>
  <si>
    <t xml:space="preserve">Customer K</t>
  </si>
  <si>
    <t xml:space="preserve">Address 11</t>
  </si>
  <si>
    <t xml:space="preserve">Service/maintenance</t>
  </si>
  <si>
    <t xml:space="preserve">Customer L</t>
  </si>
  <si>
    <t xml:space="preserve">Address 12</t>
  </si>
  <si>
    <t xml:space="preserve">2% yearly</t>
  </si>
  <si>
    <t xml:space="preserve">Billing report + AR aging (as provided) vs contracts on file</t>
  </si>
  <si>
    <t xml:space="preserve">Customer (billing)</t>
  </si>
  <si>
    <t xml:space="preserve">Billed / month</t>
  </si>
  <si>
    <t xml:space="preserve">Contract on file?</t>
  </si>
  <si>
    <t xml:space="preserve">Customer M</t>
  </si>
  <si>
    <t xml:space="preserve">RMR quality summary (Excel summary tab)</t>
  </si>
  <si>
    <t xml:space="preserve">Group</t>
  </si>
  <si>
    <t xml:space="preserve">Measure</t>
  </si>
  <si>
    <t xml:space="preserve">Value</t>
  </si>
  <si>
    <t xml:space="preserve">Totals</t>
  </si>
  <si>
    <t xml:space="preserve">Total RMR</t>
  </si>
  <si>
    <t xml:space="preserve">Annualised RMR</t>
  </si>
  <si>
    <t xml:space="preserve">By contract type</t>
  </si>
  <si>
    <t xml:space="preserve">Res vs Com</t>
  </si>
  <si>
    <t xml:space="preserve">Active term</t>
  </si>
  <si>
    <t xml:space="preserve">Auto-renewed</t>
  </si>
  <si>
    <t xml:space="preserve">Month-to-month</t>
  </si>
  <si>
    <t xml:space="preserve">Risk</t>
  </si>
  <si>
    <t xml:space="preserve">RMR expiring in window (at risk)</t>
  </si>
  <si>
    <t xml:space="preserve">Top 10 accounts % of RMR</t>
  </si>
  <si>
    <t xml:space="preserve">Qualified</t>
  </si>
  <si>
    <t xml:space="preserve">Excluded RMR (unsigned, non-assignable, delinquent, promo)</t>
  </si>
  <si>
    <t xml:space="preserve">Missing, ambiguous or risky terms (per contract)</t>
  </si>
  <si>
    <t xml:space="preserve">Treatment</t>
  </si>
  <si>
    <t xml:space="preserve">Control checks</t>
  </si>
  <si>
    <t xml:space="preserve">Check</t>
  </si>
  <si>
    <t xml:space="preserve">Expected</t>
  </si>
  <si>
    <t xml:space="preserve">Actual</t>
  </si>
  <si>
    <t xml:space="preserve">Result</t>
  </si>
  <si>
    <t xml:space="preserve">Why it matters</t>
  </si>
  <si>
    <t xml:space="preserve">Contract types add up to total RMR</t>
  </si>
  <si>
    <t xml:space="preserve">Every contract is counted in exactly one category.</t>
  </si>
  <si>
    <t xml:space="preserve">Residential + commercial = total</t>
  </si>
  <si>
    <t xml:space="preserve">No contract is missing a res/com split.</t>
  </si>
  <si>
    <t xml:space="preserve">Auto-pay + manual = total</t>
  </si>
  <si>
    <t xml:space="preserve">Payment method was entered for every contract.</t>
  </si>
  <si>
    <t xml:space="preserve">Active + auto-renewed + month-to-month = total</t>
  </si>
  <si>
    <t xml:space="preserve">Every contract has a term status from its dates.</t>
  </si>
  <si>
    <t xml:space="preserve">Qualified + excluded = total</t>
  </si>
  <si>
    <t xml:space="preserve">Nothing drops out of the RMR without a reason.</t>
  </si>
  <si>
    <t xml:space="preserve">Every contract with a billing difference is flagged</t>
  </si>
  <si>
    <t xml:space="preserve">Mismatches between paper and billing can't slip through.</t>
  </si>
  <si>
    <t xml:space="preserve">Required fields complete or flagged</t>
  </si>
  <si>
    <t xml:space="preserve">A blank cancellation term is a flag, never a silent gap.</t>
  </si>
  <si>
    <t xml:space="preserve">Billed customers with no contract (to raise)</t>
  </si>
  <si>
    <t xml:space="preserve">Billing with no paper behind it is not RMR a buyer can rely on.</t>
  </si>
  <si>
    <t xml:space="preserve">Contract count = rows entered</t>
  </si>
  <si>
    <t xml:space="preserve">Confirms the batch count against the contract folder count.</t>
  </si>
  <si>
    <t xml:space="preserve">How the review is done</t>
  </si>
  <si>
    <t xml:space="preserve">Topic</t>
  </si>
  <si>
    <t xml:space="preserve">Note</t>
  </si>
  <si>
    <t xml:space="preserve">Manual entry only</t>
  </si>
  <si>
    <t xml:space="preserve">Each contract is read on screen and typed into its row; nothing is downloaded, copied or screenshotted.</t>
  </si>
  <si>
    <t xml:space="preserve">Second pass</t>
  </si>
  <si>
    <t xml:space="preserve">After each batch, a set of rows is re-read against the contract and any correction is logged.</t>
  </si>
  <si>
    <t xml:space="preserve">Assumptions to agree</t>
  </si>
  <si>
    <t xml:space="preserve">Qualified RMR excludes unsigned, non-assignable, delinquent (90+) and promo/free accounts. Month-to-month RMR is shown separately as at risk, not excluded.</t>
  </si>
  <si>
    <t xml:space="preserve">Review settings</t>
  </si>
  <si>
    <t xml:space="preserve">Setting</t>
  </si>
  <si>
    <t xml:space="preserve">As-of date</t>
  </si>
  <si>
    <t xml:space="preserve">Used for term status and 12-month expiry window</t>
  </si>
  <si>
    <t xml:space="preserve">Expiry window (months)</t>
  </si>
  <si>
    <t xml:space="preserve">Contracts expiring inside this window = RMR at risk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</si>
</sst>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yyyy\-mm\-dd"/>
    <numFmt numFmtId="167" formatCode="0.0%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mbria"/>
      <family val="0"/>
      <charset val="1"/>
    </font>
    <font>
      <i val="true"/>
      <sz val="9"/>
      <color rgb="FF5B6776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B2545"/>
        <bgColor rgb="FF333333"/>
      </patternFill>
    </fill>
    <fill>
      <patternFill patternType="solid">
        <fgColor rgb="FF1A7F86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5DC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6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7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BF0DA"/>
        </patternFill>
      </fill>
    </dxf>
    <dxf>
      <fill>
        <patternFill>
          <bgColor rgb="FFF6E0DE"/>
        </patternFill>
      </fill>
    </dxf>
    <dxf>
      <fill>
        <patternFill>
          <bgColor rgb="FFDEF0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A7F86"/>
      <rgbColor rgb="FFC0C0C0"/>
      <rgbColor rgb="FF808080"/>
      <rgbColor rgb="FF9999FF"/>
      <rgbColor rgb="FF993366"/>
      <rgbColor rgb="FFFBF0DA"/>
      <rgbColor rgb="FFDEF0E7"/>
      <rgbColor rgb="FF660066"/>
      <rgbColor rgb="FFFF8080"/>
      <rgbColor rgb="FF0066CC"/>
      <rgbColor rgb="FFD5D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6E0DE"/>
      <rgbColor rgb="FF3366FF"/>
      <rgbColor rgb="FF33CCCC"/>
      <rgbColor rgb="FF99CC00"/>
      <rgbColor rgb="FFFFCC00"/>
      <rgbColor rgb="FFFF9900"/>
      <rgbColor rgb="FFFF6600"/>
      <rgbColor rgb="FF5B6776"/>
      <rgbColor rgb="FF969696"/>
      <rgbColor rgb="FF0B2545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1"/>
    <col collapsed="false" customWidth="true" hidden="false" outlineLevel="0" max="4" min="4" style="0" width="16"/>
    <col collapsed="false" customWidth="true" hidden="false" outlineLevel="0" max="7" min="5" style="0" width="10"/>
    <col collapsed="false" customWidth="true" hidden="false" outlineLevel="0" max="8" min="8" style="0" width="11"/>
    <col collapsed="false" customWidth="true" hidden="false" outlineLevel="0" max="12" min="9" style="0" width="8"/>
    <col collapsed="false" customWidth="true" hidden="false" outlineLevel="0" max="13" min="13" style="0" width="16"/>
    <col collapsed="false" customWidth="true" hidden="false" outlineLevel="0" max="15" min="14" style="0" width="9"/>
    <col collapsed="false" customWidth="true" hidden="false" outlineLevel="0" max="16" min="16" style="0" width="26"/>
    <col collapsed="false" customWidth="true" hidden="false" outlineLevel="0" max="17" min="17" style="0" width="11"/>
    <col collapsed="false" customWidth="true" hidden="false" outlineLevel="0" max="18" min="18" style="0" width="9"/>
    <col collapsed="false" customWidth="true" hidden="false" outlineLevel="0" max="19" min="19" style="0" width="8"/>
    <col collapsed="false" customWidth="true" hidden="false" outlineLevel="0" max="20" min="20" style="0" width="26"/>
    <col collapsed="false" customWidth="true" hidden="false" outlineLevel="0" max="21" min="21" style="0" width="10"/>
    <col collapsed="false" customWidth="true" hidden="false" outlineLevel="0" max="23" min="22" style="0" width="11"/>
    <col collapsed="false" customWidth="true" hidden="false" outlineLevel="0" max="24" min="24" style="0" width="14"/>
    <col collapsed="false" customWidth="true" hidden="false" outlineLevel="0" max="26" min="25" style="0" width="9"/>
    <col collapsed="false" customWidth="true" hidden="false" outlineLevel="0" max="27" min="27" style="0" width="40"/>
    <col collapsed="false" customWidth="true" hidden="false" outlineLevel="0" max="28" min="28" style="0" width="10"/>
  </cols>
  <sheetData>
    <row r="1" customFormat="false" ht="17.3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customFormat="false" ht="15" hidden="false" customHeight="false" outlineLevel="0" collapsed="false">
      <c r="A2" s="3" t="s">
        <v>1</v>
      </c>
    </row>
    <row r="4" customFormat="false" ht="55.2" hidden="false" customHeight="false" outlineLevel="0" collapsed="false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4" t="s">
        <v>20</v>
      </c>
      <c r="T4" s="4" t="s">
        <v>21</v>
      </c>
      <c r="U4" s="5" t="s">
        <v>22</v>
      </c>
      <c r="V4" s="5" t="s">
        <v>23</v>
      </c>
      <c r="W4" s="5" t="s">
        <v>24</v>
      </c>
      <c r="X4" s="5" t="s">
        <v>25</v>
      </c>
      <c r="Y4" s="5" t="s">
        <v>26</v>
      </c>
      <c r="Z4" s="5" t="s">
        <v>27</v>
      </c>
      <c r="AA4" s="5" t="s">
        <v>28</v>
      </c>
      <c r="AB4" s="5" t="s">
        <v>29</v>
      </c>
    </row>
    <row r="5" customFormat="false" ht="28.35" hidden="false" customHeight="false" outlineLevel="0" collapsed="false">
      <c r="A5" s="6" t="s">
        <v>30</v>
      </c>
      <c r="B5" s="6" t="s">
        <v>31</v>
      </c>
      <c r="C5" s="6" t="s">
        <v>32</v>
      </c>
      <c r="D5" s="6" t="s">
        <v>33</v>
      </c>
      <c r="E5" s="7" t="n">
        <v>39.95</v>
      </c>
      <c r="F5" s="6" t="s">
        <v>34</v>
      </c>
      <c r="G5" s="6" t="s">
        <v>35</v>
      </c>
      <c r="H5" s="8" t="n">
        <v>44986</v>
      </c>
      <c r="I5" s="6" t="n">
        <v>36</v>
      </c>
      <c r="J5" s="6" t="s">
        <v>36</v>
      </c>
      <c r="K5" s="6" t="n">
        <v>12</v>
      </c>
      <c r="L5" s="6" t="n">
        <v>30</v>
      </c>
      <c r="M5" s="6" t="s">
        <v>37</v>
      </c>
      <c r="N5" s="6" t="s">
        <v>36</v>
      </c>
      <c r="O5" s="6" t="s">
        <v>36</v>
      </c>
      <c r="P5" s="6" t="s">
        <v>38</v>
      </c>
      <c r="Q5" s="7" t="n">
        <f aca="false">IFERROR(VLOOKUP(A5,'Billing Report'!$A$5:$C$30,2,0),0)</f>
        <v>39.95</v>
      </c>
      <c r="R5" s="7" t="n">
        <f aca="false">IFERROR(VLOOKUP(A5,'Billing Report'!$A$5:$C$30,3,0),0)</f>
        <v>0</v>
      </c>
      <c r="S5" s="6" t="s">
        <v>39</v>
      </c>
      <c r="T5" s="6"/>
      <c r="U5" s="7" t="n">
        <f aca="false">ROUND(E5/IF(F5="Monthly",1,IF(F5="Quarterly",3,IF(F5="Annual",12,""))),2)</f>
        <v>39.95</v>
      </c>
      <c r="V5" s="8" t="n">
        <f aca="false">EDATE(H5,I5)</f>
        <v>46082</v>
      </c>
      <c r="W5" s="8" t="n">
        <f aca="false">IF(V5&gt;=Settings!$B$5,V5,IF(J5="Yes",EDATE(V5,K5*(INT(DATEDIF(V5,Settings!$B$5,"m")/K5)+1)),""))</f>
        <v>46447</v>
      </c>
      <c r="X5" s="9" t="str">
        <f aca="false">IF(V5&gt;=Settings!$B$5,"Active term",IF(J5="Yes","Auto-renewed","Month-to-month"))</f>
        <v>Auto-renewed</v>
      </c>
      <c r="Y5" s="6" t="str">
        <f aca="false">IF(AND(W5&lt;&gt;"",W5&gt;=Settings!$B$5,W5&lt;=EDATE(Settings!$B$5,Settings!$B$6)),"Yes","No")</f>
        <v>Yes</v>
      </c>
      <c r="Z5" s="7" t="n">
        <f aca="false">ROUND(Q5-U5,2)</f>
        <v>0</v>
      </c>
      <c r="AA5" s="9" t="str">
        <f aca="false">TRIM(IF(O5&lt;&gt;"Yes","Unsigned/incomplete; ","")&amp;IF(N5&lt;&gt;"Yes","Not assignable; ","")&amp;IF(OR(L5="",P5=""),"Cancellation terms missing; ","")&amp;IF(AND(M5&lt;&gt;"None",ISERROR(SEARCH("%",M5))),"Escalation ambiguous; ","")&amp;IF(Z5&lt;&gt;0,"Billed differs from contract; ","")&amp;IF(R5&gt;0,"Delinquent 90+; ","")&amp;IF(S5="Yes","Promo/free; ","")&amp;IF(X5="Month-to-month","Expired, billing MTM; ","")&amp;IF(COUNTIF('Billing Report'!$A$5:$A$30,A5)=0,"No matching billing; ",""))</f>
        <v/>
      </c>
      <c r="AB5" s="7" t="n">
        <f aca="false">IF(OR(O5&lt;&gt;"Yes",N5&lt;&gt;"Yes",R5&gt;0,S5="Yes"),0,U5)</f>
        <v>39.95</v>
      </c>
    </row>
    <row r="6" customFormat="false" ht="15" hidden="false" customHeight="false" outlineLevel="0" collapsed="false">
      <c r="A6" s="6" t="s">
        <v>40</v>
      </c>
      <c r="B6" s="6" t="s">
        <v>41</v>
      </c>
      <c r="C6" s="6" t="s">
        <v>42</v>
      </c>
      <c r="D6" s="6" t="s">
        <v>43</v>
      </c>
      <c r="E6" s="7" t="n">
        <v>450</v>
      </c>
      <c r="F6" s="6" t="s">
        <v>44</v>
      </c>
      <c r="G6" s="6" t="s">
        <v>45</v>
      </c>
      <c r="H6" s="8" t="n">
        <v>45306</v>
      </c>
      <c r="I6" s="6" t="n">
        <v>60</v>
      </c>
      <c r="J6" s="6" t="s">
        <v>36</v>
      </c>
      <c r="K6" s="6" t="n">
        <v>12</v>
      </c>
      <c r="L6" s="6" t="n">
        <v>60</v>
      </c>
      <c r="M6" s="6" t="s">
        <v>37</v>
      </c>
      <c r="N6" s="6" t="s">
        <v>36</v>
      </c>
      <c r="O6" s="6" t="s">
        <v>36</v>
      </c>
      <c r="P6" s="6" t="s">
        <v>46</v>
      </c>
      <c r="Q6" s="7" t="n">
        <f aca="false">IFERROR(VLOOKUP(A6,'Billing Report'!$A$5:$C$30,2,0),0)</f>
        <v>150</v>
      </c>
      <c r="R6" s="7" t="n">
        <f aca="false">IFERROR(VLOOKUP(A6,'Billing Report'!$A$5:$C$30,3,0),0)</f>
        <v>0</v>
      </c>
      <c r="S6" s="6" t="s">
        <v>39</v>
      </c>
      <c r="T6" s="6"/>
      <c r="U6" s="7" t="n">
        <f aca="false">ROUND(E6/IF(F6="Monthly",1,IF(F6="Quarterly",3,IF(F6="Annual",12,""))),2)</f>
        <v>150</v>
      </c>
      <c r="V6" s="8" t="n">
        <f aca="false">EDATE(H6,I6)</f>
        <v>47133</v>
      </c>
      <c r="W6" s="8" t="n">
        <f aca="false">IF(V6&gt;=Settings!$B$5,V6,IF(J6="Yes",EDATE(V6,K6*(INT(DATEDIF(V6,Settings!$B$5,"m")/K6)+1)),""))</f>
        <v>47133</v>
      </c>
      <c r="X6" s="9" t="str">
        <f aca="false">IF(V6&gt;=Settings!$B$5,"Active term",IF(J6="Yes","Auto-renewed","Month-to-month"))</f>
        <v>Active term</v>
      </c>
      <c r="Y6" s="6" t="str">
        <f aca="false">IF(AND(W6&lt;&gt;"",W6&gt;=Settings!$B$5,W6&lt;=EDATE(Settings!$B$5,Settings!$B$6)),"Yes","No")</f>
        <v>No</v>
      </c>
      <c r="Z6" s="7" t="n">
        <f aca="false">ROUND(Q6-U6,2)</f>
        <v>0</v>
      </c>
      <c r="AA6" s="9" t="str">
        <f aca="false">TRIM(IF(O6&lt;&gt;"Yes","Unsigned/incomplete; ","")&amp;IF(N6&lt;&gt;"Yes","Not assignable; ","")&amp;IF(OR(L6="",P6=""),"Cancellation terms missing; ","")&amp;IF(AND(M6&lt;&gt;"None",ISERROR(SEARCH("%",M6))),"Escalation ambiguous; ","")&amp;IF(Z6&lt;&gt;0,"Billed differs from contract; ","")&amp;IF(R6&gt;0,"Delinquent 90+; ","")&amp;IF(S6="Yes","Promo/free; ","")&amp;IF(X6="Month-to-month","Expired, billing MTM; ","")&amp;IF(COUNTIF('Billing Report'!$A$5:$A$30,A6)=0,"No matching billing; ",""))</f>
        <v/>
      </c>
      <c r="AB6" s="7" t="n">
        <f aca="false">IF(OR(O6&lt;&gt;"Yes",N6&lt;&gt;"Yes",R6&gt;0,S6="Yes"),0,U6)</f>
        <v>150</v>
      </c>
    </row>
    <row r="7" customFormat="false" ht="28.35" hidden="false" customHeight="false" outlineLevel="0" collapsed="false">
      <c r="A7" s="6" t="s">
        <v>47</v>
      </c>
      <c r="B7" s="6" t="s">
        <v>48</v>
      </c>
      <c r="C7" s="6" t="s">
        <v>42</v>
      </c>
      <c r="D7" s="6" t="s">
        <v>49</v>
      </c>
      <c r="E7" s="7" t="n">
        <v>289</v>
      </c>
      <c r="F7" s="6" t="s">
        <v>34</v>
      </c>
      <c r="G7" s="6" t="s">
        <v>35</v>
      </c>
      <c r="H7" s="8" t="n">
        <v>44713</v>
      </c>
      <c r="I7" s="6" t="n">
        <v>36</v>
      </c>
      <c r="J7" s="6" t="s">
        <v>39</v>
      </c>
      <c r="K7" s="6"/>
      <c r="L7" s="6" t="n">
        <v>30</v>
      </c>
      <c r="M7" s="6" t="s">
        <v>50</v>
      </c>
      <c r="N7" s="6" t="s">
        <v>36</v>
      </c>
      <c r="O7" s="6" t="s">
        <v>36</v>
      </c>
      <c r="P7" s="6" t="s">
        <v>51</v>
      </c>
      <c r="Q7" s="7" t="n">
        <f aca="false">IFERROR(VLOOKUP(A7,'Billing Report'!$A$5:$C$30,2,0),0)</f>
        <v>289</v>
      </c>
      <c r="R7" s="7" t="n">
        <f aca="false">IFERROR(VLOOKUP(A7,'Billing Report'!$A$5:$C$30,3,0),0)</f>
        <v>0</v>
      </c>
      <c r="S7" s="6" t="s">
        <v>39</v>
      </c>
      <c r="T7" s="6" t="s">
        <v>52</v>
      </c>
      <c r="U7" s="7" t="n">
        <f aca="false">ROUND(E7/IF(F7="Monthly",1,IF(F7="Quarterly",3,IF(F7="Annual",12,""))),2)</f>
        <v>289</v>
      </c>
      <c r="V7" s="8" t="n">
        <f aca="false">EDATE(H7,I7)</f>
        <v>45809</v>
      </c>
      <c r="W7" s="8" t="str">
        <f aca="false">IF(V7&gt;=Settings!$B$5,V7,IF(J7="Yes",EDATE(V7,K7*(INT(DATEDIF(V7,Settings!$B$5,"m")/K7)+1)),""))</f>
        <v/>
      </c>
      <c r="X7" s="9" t="str">
        <f aca="false">IF(V7&gt;=Settings!$B$5,"Active term",IF(J7="Yes","Auto-renewed","Month-to-month"))</f>
        <v>Month-to-month</v>
      </c>
      <c r="Y7" s="6" t="str">
        <f aca="false">IF(AND(W7&lt;&gt;"",W7&gt;=Settings!$B$5,W7&lt;=EDATE(Settings!$B$5,Settings!$B$6)),"Yes","No")</f>
        <v>No</v>
      </c>
      <c r="Z7" s="7" t="n">
        <f aca="false">ROUND(Q7-U7,2)</f>
        <v>0</v>
      </c>
      <c r="AA7" s="9" t="str">
        <f aca="false">TRIM(IF(O7&lt;&gt;"Yes","Unsigned/incomplete; ","")&amp;IF(N7&lt;&gt;"Yes","Not assignable; ","")&amp;IF(OR(L7="",P7=""),"Cancellation terms missing; ","")&amp;IF(AND(M7&lt;&gt;"None",ISERROR(SEARCH("%",M7))),"Escalation ambiguous; ","")&amp;IF(Z7&lt;&gt;0,"Billed differs from contract; ","")&amp;IF(R7&gt;0,"Delinquent 90+; ","")&amp;IF(S7="Yes","Promo/free; ","")&amp;IF(X7="Month-to-month","Expired, billing MTM; ","")&amp;IF(COUNTIF('Billing Report'!$A$5:$A$30,A7)=0,"No matching billing; ",""))</f>
        <v>Expired, billing MTM;</v>
      </c>
      <c r="AB7" s="7" t="n">
        <f aca="false">IF(OR(O7&lt;&gt;"Yes",N7&lt;&gt;"Yes",R7&gt;0,S7="Yes"),0,U7)</f>
        <v>289</v>
      </c>
    </row>
    <row r="8" customFormat="false" ht="28.35" hidden="false" customHeight="false" outlineLevel="0" collapsed="false">
      <c r="A8" s="6" t="s">
        <v>53</v>
      </c>
      <c r="B8" s="6" t="s">
        <v>54</v>
      </c>
      <c r="C8" s="6" t="s">
        <v>32</v>
      </c>
      <c r="D8" s="6" t="s">
        <v>33</v>
      </c>
      <c r="E8" s="7" t="n">
        <v>34.99</v>
      </c>
      <c r="F8" s="6" t="s">
        <v>34</v>
      </c>
      <c r="G8" s="6" t="s">
        <v>45</v>
      </c>
      <c r="H8" s="8" t="n">
        <v>45689</v>
      </c>
      <c r="I8" s="6" t="n">
        <v>36</v>
      </c>
      <c r="J8" s="6" t="s">
        <v>36</v>
      </c>
      <c r="K8" s="6" t="n">
        <v>12</v>
      </c>
      <c r="L8" s="6"/>
      <c r="M8" s="6" t="s">
        <v>50</v>
      </c>
      <c r="N8" s="6" t="s">
        <v>36</v>
      </c>
      <c r="O8" s="6" t="s">
        <v>36</v>
      </c>
      <c r="P8" s="6"/>
      <c r="Q8" s="7" t="n">
        <f aca="false">IFERROR(VLOOKUP(A8,'Billing Report'!$A$5:$C$30,2,0),0)</f>
        <v>34.99</v>
      </c>
      <c r="R8" s="7" t="n">
        <f aca="false">IFERROR(VLOOKUP(A8,'Billing Report'!$A$5:$C$30,3,0),0)</f>
        <v>104.97</v>
      </c>
      <c r="S8" s="6" t="s">
        <v>39</v>
      </c>
      <c r="T8" s="6" t="s">
        <v>55</v>
      </c>
      <c r="U8" s="7" t="n">
        <f aca="false">ROUND(E8/IF(F8="Monthly",1,IF(F8="Quarterly",3,IF(F8="Annual",12,""))),2)</f>
        <v>34.99</v>
      </c>
      <c r="V8" s="8" t="n">
        <f aca="false">EDATE(H8,I8)</f>
        <v>46784</v>
      </c>
      <c r="W8" s="8" t="n">
        <f aca="false">IF(V8&gt;=Settings!$B$5,V8,IF(J8="Yes",EDATE(V8,K8*(INT(DATEDIF(V8,Settings!$B$5,"m")/K8)+1)),""))</f>
        <v>46784</v>
      </c>
      <c r="X8" s="9" t="str">
        <f aca="false">IF(V8&gt;=Settings!$B$5,"Active term",IF(J8="Yes","Auto-renewed","Month-to-month"))</f>
        <v>Active term</v>
      </c>
      <c r="Y8" s="6" t="str">
        <f aca="false">IF(AND(W8&lt;&gt;"",W8&gt;=Settings!$B$5,W8&lt;=EDATE(Settings!$B$5,Settings!$B$6)),"Yes","No")</f>
        <v>No</v>
      </c>
      <c r="Z8" s="7" t="n">
        <f aca="false">ROUND(Q8-U8,2)</f>
        <v>0</v>
      </c>
      <c r="AA8" s="9" t="str">
        <f aca="false">TRIM(IF(O8&lt;&gt;"Yes","Unsigned/incomplete; ","")&amp;IF(N8&lt;&gt;"Yes","Not assignable; ","")&amp;IF(OR(L8="",P8=""),"Cancellation terms missing; ","")&amp;IF(AND(M8&lt;&gt;"None",ISERROR(SEARCH("%",M8))),"Escalation ambiguous; ","")&amp;IF(Z8&lt;&gt;0,"Billed differs from contract; ","")&amp;IF(R8&gt;0,"Delinquent 90+; ","")&amp;IF(S8="Yes","Promo/free; ","")&amp;IF(X8="Month-to-month","Expired, billing MTM; ","")&amp;IF(COUNTIF('Billing Report'!$A$5:$A$30,A8)=0,"No matching billing; ",""))</f>
        <v>Cancellation terms missing; Delinquent 90+;</v>
      </c>
      <c r="AB8" s="7" t="n">
        <f aca="false">IF(OR(O8&lt;&gt;"Yes",N8&lt;&gt;"Yes",R8&gt;0,S8="Yes"),0,U8)</f>
        <v>0</v>
      </c>
    </row>
    <row r="9" customFormat="false" ht="28.35" hidden="false" customHeight="false" outlineLevel="0" collapsed="false">
      <c r="A9" s="6" t="s">
        <v>56</v>
      </c>
      <c r="B9" s="6" t="s">
        <v>57</v>
      </c>
      <c r="C9" s="6" t="s">
        <v>42</v>
      </c>
      <c r="D9" s="6" t="s">
        <v>58</v>
      </c>
      <c r="E9" s="7" t="n">
        <v>1440</v>
      </c>
      <c r="F9" s="6" t="s">
        <v>59</v>
      </c>
      <c r="G9" s="6" t="s">
        <v>45</v>
      </c>
      <c r="H9" s="8" t="n">
        <v>45901</v>
      </c>
      <c r="I9" s="6" t="n">
        <v>24</v>
      </c>
      <c r="J9" s="6" t="s">
        <v>36</v>
      </c>
      <c r="K9" s="6" t="n">
        <v>12</v>
      </c>
      <c r="L9" s="6" t="n">
        <v>90</v>
      </c>
      <c r="M9" s="6" t="s">
        <v>60</v>
      </c>
      <c r="N9" s="6" t="s">
        <v>39</v>
      </c>
      <c r="O9" s="6" t="s">
        <v>36</v>
      </c>
      <c r="P9" s="6" t="s">
        <v>61</v>
      </c>
      <c r="Q9" s="7" t="n">
        <f aca="false">IFERROR(VLOOKUP(A9,'Billing Report'!$A$5:$C$30,2,0),0)</f>
        <v>120</v>
      </c>
      <c r="R9" s="7" t="n">
        <f aca="false">IFERROR(VLOOKUP(A9,'Billing Report'!$A$5:$C$30,3,0),0)</f>
        <v>0</v>
      </c>
      <c r="S9" s="6" t="s">
        <v>39</v>
      </c>
      <c r="T9" s="6" t="s">
        <v>62</v>
      </c>
      <c r="U9" s="7" t="n">
        <f aca="false">ROUND(E9/IF(F9="Monthly",1,IF(F9="Quarterly",3,IF(F9="Annual",12,""))),2)</f>
        <v>120</v>
      </c>
      <c r="V9" s="8" t="n">
        <f aca="false">EDATE(H9,I9)</f>
        <v>46631</v>
      </c>
      <c r="W9" s="8" t="n">
        <f aca="false">IF(V9&gt;=Settings!$B$5,V9,IF(J9="Yes",EDATE(V9,K9*(INT(DATEDIF(V9,Settings!$B$5,"m")/K9)+1)),""))</f>
        <v>46631</v>
      </c>
      <c r="X9" s="9" t="str">
        <f aca="false">IF(V9&gt;=Settings!$B$5,"Active term",IF(J9="Yes","Auto-renewed","Month-to-month"))</f>
        <v>Active term</v>
      </c>
      <c r="Y9" s="6" t="str">
        <f aca="false">IF(AND(W9&lt;&gt;"",W9&gt;=Settings!$B$5,W9&lt;=EDATE(Settings!$B$5,Settings!$B$6)),"Yes","No")</f>
        <v>Yes</v>
      </c>
      <c r="Z9" s="7" t="n">
        <f aca="false">ROUND(Q9-U9,2)</f>
        <v>0</v>
      </c>
      <c r="AA9" s="9" t="str">
        <f aca="false">TRIM(IF(O9&lt;&gt;"Yes","Unsigned/incomplete; ","")&amp;IF(N9&lt;&gt;"Yes","Not assignable; ","")&amp;IF(OR(L9="",P9=""),"Cancellation terms missing; ","")&amp;IF(AND(M9&lt;&gt;"None",ISERROR(SEARCH("%",M9))),"Escalation ambiguous; ","")&amp;IF(Z9&lt;&gt;0,"Billed differs from contract; ","")&amp;IF(R9&gt;0,"Delinquent 90+; ","")&amp;IF(S9="Yes","Promo/free; ","")&amp;IF(X9="Month-to-month","Expired, billing MTM; ","")&amp;IF(COUNTIF('Billing Report'!$A$5:$A$30,A9)=0,"No matching billing; ",""))</f>
        <v>Not assignable; Escalation ambiguous;</v>
      </c>
      <c r="AB9" s="7" t="n">
        <f aca="false">IF(OR(O9&lt;&gt;"Yes",N9&lt;&gt;"Yes",R9&gt;0,S9="Yes"),0,U9)</f>
        <v>0</v>
      </c>
    </row>
    <row r="10" customFormat="false" ht="15" hidden="false" customHeight="false" outlineLevel="0" collapsed="false">
      <c r="A10" s="6" t="s">
        <v>63</v>
      </c>
      <c r="B10" s="6" t="s">
        <v>64</v>
      </c>
      <c r="C10" s="6" t="s">
        <v>32</v>
      </c>
      <c r="D10" s="6" t="s">
        <v>33</v>
      </c>
      <c r="E10" s="7" t="n">
        <v>29.99</v>
      </c>
      <c r="F10" s="6" t="s">
        <v>34</v>
      </c>
      <c r="G10" s="6" t="s">
        <v>35</v>
      </c>
      <c r="H10" s="8" t="n">
        <v>46032</v>
      </c>
      <c r="I10" s="6" t="n">
        <v>36</v>
      </c>
      <c r="J10" s="6" t="s">
        <v>36</v>
      </c>
      <c r="K10" s="6" t="n">
        <v>12</v>
      </c>
      <c r="L10" s="6" t="n">
        <v>30</v>
      </c>
      <c r="M10" s="6" t="s">
        <v>50</v>
      </c>
      <c r="N10" s="6" t="s">
        <v>36</v>
      </c>
      <c r="O10" s="6" t="s">
        <v>39</v>
      </c>
      <c r="P10" s="6" t="s">
        <v>51</v>
      </c>
      <c r="Q10" s="7" t="n">
        <f aca="false">IFERROR(VLOOKUP(A10,'Billing Report'!$A$5:$C$30,2,0),0)</f>
        <v>29.99</v>
      </c>
      <c r="R10" s="7" t="n">
        <f aca="false">IFERROR(VLOOKUP(A10,'Billing Report'!$A$5:$C$30,3,0),0)</f>
        <v>0</v>
      </c>
      <c r="S10" s="6" t="s">
        <v>39</v>
      </c>
      <c r="T10" s="6" t="s">
        <v>65</v>
      </c>
      <c r="U10" s="7" t="n">
        <f aca="false">ROUND(E10/IF(F10="Monthly",1,IF(F10="Quarterly",3,IF(F10="Annual",12,""))),2)</f>
        <v>29.99</v>
      </c>
      <c r="V10" s="8" t="n">
        <f aca="false">EDATE(H10,I10)</f>
        <v>47128</v>
      </c>
      <c r="W10" s="8" t="n">
        <f aca="false">IF(V10&gt;=Settings!$B$5,V10,IF(J10="Yes",EDATE(V10,K10*(INT(DATEDIF(V10,Settings!$B$5,"m")/K10)+1)),""))</f>
        <v>47128</v>
      </c>
      <c r="X10" s="9" t="str">
        <f aca="false">IF(V10&gt;=Settings!$B$5,"Active term",IF(J10="Yes","Auto-renewed","Month-to-month"))</f>
        <v>Active term</v>
      </c>
      <c r="Y10" s="6" t="str">
        <f aca="false">IF(AND(W10&lt;&gt;"",W10&gt;=Settings!$B$5,W10&lt;=EDATE(Settings!$B$5,Settings!$B$6)),"Yes","No")</f>
        <v>No</v>
      </c>
      <c r="Z10" s="7" t="n">
        <f aca="false">ROUND(Q10-U10,2)</f>
        <v>0</v>
      </c>
      <c r="AA10" s="9" t="str">
        <f aca="false">TRIM(IF(O10&lt;&gt;"Yes","Unsigned/incomplete; ","")&amp;IF(N10&lt;&gt;"Yes","Not assignable; ","")&amp;IF(OR(L10="",P10=""),"Cancellation terms missing; ","")&amp;IF(AND(M10&lt;&gt;"None",ISERROR(SEARCH("%",M10))),"Escalation ambiguous; ","")&amp;IF(Z10&lt;&gt;0,"Billed differs from contract; ","")&amp;IF(R10&gt;0,"Delinquent 90+; ","")&amp;IF(S10="Yes","Promo/free; ","")&amp;IF(X10="Month-to-month","Expired, billing MTM; ","")&amp;IF(COUNTIF('Billing Report'!$A$5:$A$30,A10)=0,"No matching billing; ",""))</f>
        <v>Unsigned/incomplete;</v>
      </c>
      <c r="AB10" s="7" t="n">
        <f aca="false">IF(OR(O10&lt;&gt;"Yes",N10&lt;&gt;"Yes",R10&gt;0,S10="Yes"),0,U10)</f>
        <v>0</v>
      </c>
    </row>
    <row r="11" customFormat="false" ht="15" hidden="false" customHeight="false" outlineLevel="0" collapsed="false">
      <c r="A11" s="6" t="s">
        <v>66</v>
      </c>
      <c r="B11" s="6" t="s">
        <v>67</v>
      </c>
      <c r="C11" s="6" t="s">
        <v>42</v>
      </c>
      <c r="D11" s="6" t="s">
        <v>33</v>
      </c>
      <c r="E11" s="7" t="n">
        <v>95</v>
      </c>
      <c r="F11" s="6" t="s">
        <v>34</v>
      </c>
      <c r="G11" s="6" t="s">
        <v>35</v>
      </c>
      <c r="H11" s="8" t="n">
        <v>45597</v>
      </c>
      <c r="I11" s="6" t="n">
        <v>24</v>
      </c>
      <c r="J11" s="6" t="s">
        <v>36</v>
      </c>
      <c r="K11" s="6" t="n">
        <v>12</v>
      </c>
      <c r="L11" s="6" t="n">
        <v>30</v>
      </c>
      <c r="M11" s="6" t="s">
        <v>68</v>
      </c>
      <c r="N11" s="6" t="s">
        <v>36</v>
      </c>
      <c r="O11" s="6" t="s">
        <v>36</v>
      </c>
      <c r="P11" s="6" t="s">
        <v>51</v>
      </c>
      <c r="Q11" s="7" t="n">
        <f aca="false">IFERROR(VLOOKUP(A11,'Billing Report'!$A$5:$C$30,2,0),0)</f>
        <v>95</v>
      </c>
      <c r="R11" s="7" t="n">
        <f aca="false">IFERROR(VLOOKUP(A11,'Billing Report'!$A$5:$C$30,3,0),0)</f>
        <v>0</v>
      </c>
      <c r="S11" s="6" t="s">
        <v>39</v>
      </c>
      <c r="T11" s="6"/>
      <c r="U11" s="7" t="n">
        <f aca="false">ROUND(E11/IF(F11="Monthly",1,IF(F11="Quarterly",3,IF(F11="Annual",12,""))),2)</f>
        <v>95</v>
      </c>
      <c r="V11" s="8" t="n">
        <f aca="false">EDATE(H11,I11)</f>
        <v>46327</v>
      </c>
      <c r="W11" s="8" t="n">
        <f aca="false">IF(V11&gt;=Settings!$B$5,V11,IF(J11="Yes",EDATE(V11,K11*(INT(DATEDIF(V11,Settings!$B$5,"m")/K11)+1)),""))</f>
        <v>46327</v>
      </c>
      <c r="X11" s="9" t="str">
        <f aca="false">IF(V11&gt;=Settings!$B$5,"Active term",IF(J11="Yes","Auto-renewed","Month-to-month"))</f>
        <v>Active term</v>
      </c>
      <c r="Y11" s="6" t="str">
        <f aca="false">IF(AND(W11&lt;&gt;"",W11&gt;=Settings!$B$5,W11&lt;=EDATE(Settings!$B$5,Settings!$B$6)),"Yes","No")</f>
        <v>Yes</v>
      </c>
      <c r="Z11" s="7" t="n">
        <f aca="false">ROUND(Q11-U11,2)</f>
        <v>0</v>
      </c>
      <c r="AA11" s="9" t="str">
        <f aca="false">TRIM(IF(O11&lt;&gt;"Yes","Unsigned/incomplete; ","")&amp;IF(N11&lt;&gt;"Yes","Not assignable; ","")&amp;IF(OR(L11="",P11=""),"Cancellation terms missing; ","")&amp;IF(AND(M11&lt;&gt;"None",ISERROR(SEARCH("%",M11))),"Escalation ambiguous; ","")&amp;IF(Z11&lt;&gt;0,"Billed differs from contract; ","")&amp;IF(R11&gt;0,"Delinquent 90+; ","")&amp;IF(S11="Yes","Promo/free; ","")&amp;IF(X11="Month-to-month","Expired, billing MTM; ","")&amp;IF(COUNTIF('Billing Report'!$A$5:$A$30,A11)=0,"No matching billing; ",""))</f>
        <v/>
      </c>
      <c r="AB11" s="7" t="n">
        <f aca="false">IF(OR(O11&lt;&gt;"Yes",N11&lt;&gt;"Yes",R11&gt;0,S11="Yes"),0,U11)</f>
        <v>95</v>
      </c>
    </row>
    <row r="12" customFormat="false" ht="15" hidden="false" customHeight="false" outlineLevel="0" collapsed="false">
      <c r="A12" s="6" t="s">
        <v>69</v>
      </c>
      <c r="B12" s="6" t="s">
        <v>70</v>
      </c>
      <c r="C12" s="6" t="s">
        <v>32</v>
      </c>
      <c r="D12" s="6" t="s">
        <v>71</v>
      </c>
      <c r="E12" s="7" t="n">
        <v>15</v>
      </c>
      <c r="F12" s="6" t="s">
        <v>34</v>
      </c>
      <c r="G12" s="6" t="s">
        <v>35</v>
      </c>
      <c r="H12" s="8" t="n">
        <v>45778</v>
      </c>
      <c r="I12" s="6" t="n">
        <v>36</v>
      </c>
      <c r="J12" s="6" t="s">
        <v>36</v>
      </c>
      <c r="K12" s="6" t="n">
        <v>12</v>
      </c>
      <c r="L12" s="6" t="n">
        <v>30</v>
      </c>
      <c r="M12" s="6" t="s">
        <v>50</v>
      </c>
      <c r="N12" s="6" t="s">
        <v>36</v>
      </c>
      <c r="O12" s="6" t="s">
        <v>36</v>
      </c>
      <c r="P12" s="6" t="s">
        <v>51</v>
      </c>
      <c r="Q12" s="7" t="n">
        <f aca="false">IFERROR(VLOOKUP(A12,'Billing Report'!$A$5:$C$30,2,0),0)</f>
        <v>0</v>
      </c>
      <c r="R12" s="7" t="n">
        <f aca="false">IFERROR(VLOOKUP(A12,'Billing Report'!$A$5:$C$30,3,0),0)</f>
        <v>0</v>
      </c>
      <c r="S12" s="6" t="s">
        <v>36</v>
      </c>
      <c r="T12" s="6" t="s">
        <v>72</v>
      </c>
      <c r="U12" s="7" t="n">
        <f aca="false">ROUND(E12/IF(F12="Monthly",1,IF(F12="Quarterly",3,IF(F12="Annual",12,""))),2)</f>
        <v>15</v>
      </c>
      <c r="V12" s="8" t="n">
        <f aca="false">EDATE(H12,I12)</f>
        <v>46874</v>
      </c>
      <c r="W12" s="8" t="n">
        <f aca="false">IF(V12&gt;=Settings!$B$5,V12,IF(J12="Yes",EDATE(V12,K12*(INT(DATEDIF(V12,Settings!$B$5,"m")/K12)+1)),""))</f>
        <v>46874</v>
      </c>
      <c r="X12" s="9" t="str">
        <f aca="false">IF(V12&gt;=Settings!$B$5,"Active term",IF(J12="Yes","Auto-renewed","Month-to-month"))</f>
        <v>Active term</v>
      </c>
      <c r="Y12" s="6" t="str">
        <f aca="false">IF(AND(W12&lt;&gt;"",W12&gt;=Settings!$B$5,W12&lt;=EDATE(Settings!$B$5,Settings!$B$6)),"Yes","No")</f>
        <v>No</v>
      </c>
      <c r="Z12" s="7" t="n">
        <f aca="false">ROUND(Q12-U12,2)</f>
        <v>-15</v>
      </c>
      <c r="AA12" s="9" t="str">
        <f aca="false">TRIM(IF(O12&lt;&gt;"Yes","Unsigned/incomplete; ","")&amp;IF(N12&lt;&gt;"Yes","Not assignable; ","")&amp;IF(OR(L12="",P12=""),"Cancellation terms missing; ","")&amp;IF(AND(M12&lt;&gt;"None",ISERROR(SEARCH("%",M12))),"Escalation ambiguous; ","")&amp;IF(Z12&lt;&gt;0,"Billed differs from contract; ","")&amp;IF(R12&gt;0,"Delinquent 90+; ","")&amp;IF(S12="Yes","Promo/free; ","")&amp;IF(X12="Month-to-month","Expired, billing MTM; ","")&amp;IF(COUNTIF('Billing Report'!$A$5:$A$30,A12)=0,"No matching billing; ",""))</f>
        <v>Billed differs from contract; Promo/free;</v>
      </c>
      <c r="AB12" s="7" t="n">
        <f aca="false">IF(OR(O12&lt;&gt;"Yes",N12&lt;&gt;"Yes",R12&gt;0,S12="Yes"),0,U12)</f>
        <v>0</v>
      </c>
    </row>
    <row r="13" customFormat="false" ht="15" hidden="false" customHeight="false" outlineLevel="0" collapsed="false">
      <c r="A13" s="6" t="s">
        <v>73</v>
      </c>
      <c r="B13" s="6" t="s">
        <v>74</v>
      </c>
      <c r="C13" s="6" t="s">
        <v>42</v>
      </c>
      <c r="D13" s="6" t="s">
        <v>75</v>
      </c>
      <c r="E13" s="7" t="n">
        <v>1200</v>
      </c>
      <c r="F13" s="6" t="s">
        <v>59</v>
      </c>
      <c r="G13" s="6" t="s">
        <v>45</v>
      </c>
      <c r="H13" s="8" t="n">
        <v>45352</v>
      </c>
      <c r="I13" s="6" t="n">
        <v>36</v>
      </c>
      <c r="J13" s="6" t="s">
        <v>39</v>
      </c>
      <c r="K13" s="6"/>
      <c r="L13" s="6" t="n">
        <v>60</v>
      </c>
      <c r="M13" s="6" t="s">
        <v>50</v>
      </c>
      <c r="N13" s="6" t="s">
        <v>36</v>
      </c>
      <c r="O13" s="6" t="s">
        <v>36</v>
      </c>
      <c r="P13" s="6" t="s">
        <v>76</v>
      </c>
      <c r="Q13" s="7" t="n">
        <f aca="false">IFERROR(VLOOKUP(A13,'Billing Report'!$A$5:$C$30,2,0),0)</f>
        <v>100</v>
      </c>
      <c r="R13" s="7" t="n">
        <f aca="false">IFERROR(VLOOKUP(A13,'Billing Report'!$A$5:$C$30,3,0),0)</f>
        <v>0</v>
      </c>
      <c r="S13" s="6" t="s">
        <v>39</v>
      </c>
      <c r="T13" s="6"/>
      <c r="U13" s="7" t="n">
        <f aca="false">ROUND(E13/IF(F13="Monthly",1,IF(F13="Quarterly",3,IF(F13="Annual",12,""))),2)</f>
        <v>100</v>
      </c>
      <c r="V13" s="8" t="n">
        <f aca="false">EDATE(H13,I13)</f>
        <v>46447</v>
      </c>
      <c r="W13" s="8" t="n">
        <f aca="false">IF(V13&gt;=Settings!$B$5,V13,IF(J13="Yes",EDATE(V13,K13*(INT(DATEDIF(V13,Settings!$B$5,"m")/K13)+1)),""))</f>
        <v>46447</v>
      </c>
      <c r="X13" s="9" t="str">
        <f aca="false">IF(V13&gt;=Settings!$B$5,"Active term",IF(J13="Yes","Auto-renewed","Month-to-month"))</f>
        <v>Active term</v>
      </c>
      <c r="Y13" s="6" t="str">
        <f aca="false">IF(AND(W13&lt;&gt;"",W13&gt;=Settings!$B$5,W13&lt;=EDATE(Settings!$B$5,Settings!$B$6)),"Yes","No")</f>
        <v>Yes</v>
      </c>
      <c r="Z13" s="7" t="n">
        <f aca="false">ROUND(Q13-U13,2)</f>
        <v>0</v>
      </c>
      <c r="AA13" s="9" t="str">
        <f aca="false">TRIM(IF(O13&lt;&gt;"Yes","Unsigned/incomplete; ","")&amp;IF(N13&lt;&gt;"Yes","Not assignable; ","")&amp;IF(OR(L13="",P13=""),"Cancellation terms missing; ","")&amp;IF(AND(M13&lt;&gt;"None",ISERROR(SEARCH("%",M13))),"Escalation ambiguous; ","")&amp;IF(Z13&lt;&gt;0,"Billed differs from contract; ","")&amp;IF(R13&gt;0,"Delinquent 90+; ","")&amp;IF(S13="Yes","Promo/free; ","")&amp;IF(X13="Month-to-month","Expired, billing MTM; ","")&amp;IF(COUNTIF('Billing Report'!$A$5:$A$30,A13)=0,"No matching billing; ",""))</f>
        <v/>
      </c>
      <c r="AB13" s="7" t="n">
        <f aca="false">IF(OR(O13&lt;&gt;"Yes",N13&lt;&gt;"Yes",R13&gt;0,S13="Yes"),0,U13)</f>
        <v>100</v>
      </c>
    </row>
    <row r="14" customFormat="false" ht="15" hidden="false" customHeight="false" outlineLevel="0" collapsed="false">
      <c r="A14" s="6" t="s">
        <v>77</v>
      </c>
      <c r="B14" s="6" t="s">
        <v>78</v>
      </c>
      <c r="C14" s="6" t="s">
        <v>32</v>
      </c>
      <c r="D14" s="6" t="s">
        <v>33</v>
      </c>
      <c r="E14" s="7" t="n">
        <v>42.5</v>
      </c>
      <c r="F14" s="6" t="s">
        <v>34</v>
      </c>
      <c r="G14" s="6" t="s">
        <v>35</v>
      </c>
      <c r="H14" s="8" t="n">
        <v>45261</v>
      </c>
      <c r="I14" s="6" t="n">
        <v>36</v>
      </c>
      <c r="J14" s="6" t="s">
        <v>36</v>
      </c>
      <c r="K14" s="6" t="n">
        <v>12</v>
      </c>
      <c r="L14" s="6" t="n">
        <v>30</v>
      </c>
      <c r="M14" s="6" t="s">
        <v>37</v>
      </c>
      <c r="N14" s="6" t="s">
        <v>36</v>
      </c>
      <c r="O14" s="6" t="s">
        <v>36</v>
      </c>
      <c r="P14" s="6" t="s">
        <v>51</v>
      </c>
      <c r="Q14" s="7" t="n">
        <f aca="false">IFERROR(VLOOKUP(A14,'Billing Report'!$A$5:$C$30,2,0),0)</f>
        <v>44.95</v>
      </c>
      <c r="R14" s="7" t="n">
        <f aca="false">IFERROR(VLOOKUP(A14,'Billing Report'!$A$5:$C$30,3,0),0)</f>
        <v>0</v>
      </c>
      <c r="S14" s="6" t="s">
        <v>39</v>
      </c>
      <c r="T14" s="6" t="s">
        <v>79</v>
      </c>
      <c r="U14" s="7" t="n">
        <f aca="false">ROUND(E14/IF(F14="Monthly",1,IF(F14="Quarterly",3,IF(F14="Annual",12,""))),2)</f>
        <v>42.5</v>
      </c>
      <c r="V14" s="8" t="n">
        <f aca="false">EDATE(H14,I14)</f>
        <v>46357</v>
      </c>
      <c r="W14" s="8" t="n">
        <f aca="false">IF(V14&gt;=Settings!$B$5,V14,IF(J14="Yes",EDATE(V14,K14*(INT(DATEDIF(V14,Settings!$B$5,"m")/K14)+1)),""))</f>
        <v>46357</v>
      </c>
      <c r="X14" s="9" t="str">
        <f aca="false">IF(V14&gt;=Settings!$B$5,"Active term",IF(J14="Yes","Auto-renewed","Month-to-month"))</f>
        <v>Active term</v>
      </c>
      <c r="Y14" s="6" t="str">
        <f aca="false">IF(AND(W14&lt;&gt;"",W14&gt;=Settings!$B$5,W14&lt;=EDATE(Settings!$B$5,Settings!$B$6)),"Yes","No")</f>
        <v>Yes</v>
      </c>
      <c r="Z14" s="7" t="n">
        <f aca="false">ROUND(Q14-U14,2)</f>
        <v>2.45</v>
      </c>
      <c r="AA14" s="9" t="str">
        <f aca="false">TRIM(IF(O14&lt;&gt;"Yes","Unsigned/incomplete; ","")&amp;IF(N14&lt;&gt;"Yes","Not assignable; ","")&amp;IF(OR(L14="",P14=""),"Cancellation terms missing; ","")&amp;IF(AND(M14&lt;&gt;"None",ISERROR(SEARCH("%",M14))),"Escalation ambiguous; ","")&amp;IF(Z14&lt;&gt;0,"Billed differs from contract; ","")&amp;IF(R14&gt;0,"Delinquent 90+; ","")&amp;IF(S14="Yes","Promo/free; ","")&amp;IF(X14="Month-to-month","Expired, billing MTM; ","")&amp;IF(COUNTIF('Billing Report'!$A$5:$A$30,A14)=0,"No matching billing; ",""))</f>
        <v>Billed differs from contract;</v>
      </c>
      <c r="AB14" s="7" t="n">
        <f aca="false">IF(OR(O14&lt;&gt;"Yes",N14&lt;&gt;"Yes",R14&gt;0,S14="Yes"),0,U14)</f>
        <v>42.5</v>
      </c>
    </row>
    <row r="15" customFormat="false" ht="28.35" hidden="false" customHeight="false" outlineLevel="0" collapsed="false">
      <c r="A15" s="6" t="s">
        <v>80</v>
      </c>
      <c r="B15" s="6" t="s">
        <v>81</v>
      </c>
      <c r="C15" s="6" t="s">
        <v>42</v>
      </c>
      <c r="D15" s="6" t="s">
        <v>82</v>
      </c>
      <c r="E15" s="7" t="n">
        <v>210</v>
      </c>
      <c r="F15" s="6" t="s">
        <v>44</v>
      </c>
      <c r="G15" s="6" t="s">
        <v>45</v>
      </c>
      <c r="H15" s="8" t="n">
        <v>45839</v>
      </c>
      <c r="I15" s="6" t="n">
        <v>12</v>
      </c>
      <c r="J15" s="6" t="s">
        <v>36</v>
      </c>
      <c r="K15" s="6" t="n">
        <v>12</v>
      </c>
      <c r="L15" s="6" t="n">
        <v>30</v>
      </c>
      <c r="M15" s="6" t="s">
        <v>50</v>
      </c>
      <c r="N15" s="6" t="s">
        <v>36</v>
      </c>
      <c r="O15" s="6" t="s">
        <v>36</v>
      </c>
      <c r="P15" s="6" t="s">
        <v>51</v>
      </c>
      <c r="Q15" s="7" t="n">
        <f aca="false">IFERROR(VLOOKUP(A15,'Billing Report'!$A$5:$C$30,2,0),0)</f>
        <v>70</v>
      </c>
      <c r="R15" s="7" t="n">
        <f aca="false">IFERROR(VLOOKUP(A15,'Billing Report'!$A$5:$C$30,3,0),0)</f>
        <v>210</v>
      </c>
      <c r="S15" s="6" t="s">
        <v>39</v>
      </c>
      <c r="T15" s="6"/>
      <c r="U15" s="7" t="n">
        <f aca="false">ROUND(E15/IF(F15="Monthly",1,IF(F15="Quarterly",3,IF(F15="Annual",12,""))),2)</f>
        <v>70</v>
      </c>
      <c r="V15" s="8" t="n">
        <f aca="false">EDATE(H15,I15)</f>
        <v>46204</v>
      </c>
      <c r="W15" s="8" t="n">
        <f aca="false">IF(V15&gt;=Settings!$B$5,V15,IF(J15="Yes",EDATE(V15,K15*(INT(DATEDIF(V15,Settings!$B$5,"m")/K15)+1)),""))</f>
        <v>46569</v>
      </c>
      <c r="X15" s="9" t="str">
        <f aca="false">IF(V15&gt;=Settings!$B$5,"Active term",IF(J15="Yes","Auto-renewed","Month-to-month"))</f>
        <v>Auto-renewed</v>
      </c>
      <c r="Y15" s="6" t="str">
        <f aca="false">IF(AND(W15&lt;&gt;"",W15&gt;=Settings!$B$5,W15&lt;=EDATE(Settings!$B$5,Settings!$B$6)),"Yes","No")</f>
        <v>Yes</v>
      </c>
      <c r="Z15" s="7" t="n">
        <f aca="false">ROUND(Q15-U15,2)</f>
        <v>0</v>
      </c>
      <c r="AA15" s="9" t="str">
        <f aca="false">TRIM(IF(O15&lt;&gt;"Yes","Unsigned/incomplete; ","")&amp;IF(N15&lt;&gt;"Yes","Not assignable; ","")&amp;IF(OR(L15="",P15=""),"Cancellation terms missing; ","")&amp;IF(AND(M15&lt;&gt;"None",ISERROR(SEARCH("%",M15))),"Escalation ambiguous; ","")&amp;IF(Z15&lt;&gt;0,"Billed differs from contract; ","")&amp;IF(R15&gt;0,"Delinquent 90+; ","")&amp;IF(S15="Yes","Promo/free; ","")&amp;IF(X15="Month-to-month","Expired, billing MTM; ","")&amp;IF(COUNTIF('Billing Report'!$A$5:$A$30,A15)=0,"No matching billing; ",""))</f>
        <v>Delinquent 90+;</v>
      </c>
      <c r="AB15" s="7" t="n">
        <f aca="false">IF(OR(O15&lt;&gt;"Yes",N15&lt;&gt;"Yes",R15&gt;0,S15="Yes"),0,U15)</f>
        <v>0</v>
      </c>
    </row>
    <row r="16" customFormat="false" ht="15" hidden="false" customHeight="false" outlineLevel="0" collapsed="false">
      <c r="A16" s="6" t="s">
        <v>83</v>
      </c>
      <c r="B16" s="6" t="s">
        <v>84</v>
      </c>
      <c r="C16" s="6" t="s">
        <v>42</v>
      </c>
      <c r="D16" s="6" t="s">
        <v>43</v>
      </c>
      <c r="E16" s="7" t="n">
        <v>360</v>
      </c>
      <c r="F16" s="6" t="s">
        <v>34</v>
      </c>
      <c r="G16" s="6" t="s">
        <v>35</v>
      </c>
      <c r="H16" s="8" t="n">
        <v>44287</v>
      </c>
      <c r="I16" s="6" t="n">
        <v>60</v>
      </c>
      <c r="J16" s="6" t="s">
        <v>36</v>
      </c>
      <c r="K16" s="6" t="n">
        <v>60</v>
      </c>
      <c r="L16" s="6" t="n">
        <v>90</v>
      </c>
      <c r="M16" s="6" t="s">
        <v>85</v>
      </c>
      <c r="N16" s="6" t="s">
        <v>36</v>
      </c>
      <c r="O16" s="6" t="s">
        <v>36</v>
      </c>
      <c r="P16" s="6" t="s">
        <v>61</v>
      </c>
      <c r="Q16" s="7" t="n">
        <f aca="false">IFERROR(VLOOKUP(A16,'Billing Report'!$A$5:$C$30,2,0),0)</f>
        <v>360</v>
      </c>
      <c r="R16" s="7" t="n">
        <f aca="false">IFERROR(VLOOKUP(A16,'Billing Report'!$A$5:$C$30,3,0),0)</f>
        <v>0</v>
      </c>
      <c r="S16" s="6" t="s">
        <v>39</v>
      </c>
      <c r="T16" s="6"/>
      <c r="U16" s="7" t="n">
        <f aca="false">ROUND(E16/IF(F16="Monthly",1,IF(F16="Quarterly",3,IF(F16="Annual",12,""))),2)</f>
        <v>360</v>
      </c>
      <c r="V16" s="8" t="n">
        <f aca="false">EDATE(H16,I16)</f>
        <v>46113</v>
      </c>
      <c r="W16" s="8" t="n">
        <f aca="false">IF(V16&gt;=Settings!$B$5,V16,IF(J16="Yes",EDATE(V16,K16*(INT(DATEDIF(V16,Settings!$B$5,"m")/K16)+1)),""))</f>
        <v>47939</v>
      </c>
      <c r="X16" s="9" t="str">
        <f aca="false">IF(V16&gt;=Settings!$B$5,"Active term",IF(J16="Yes","Auto-renewed","Month-to-month"))</f>
        <v>Auto-renewed</v>
      </c>
      <c r="Y16" s="6" t="str">
        <f aca="false">IF(AND(W16&lt;&gt;"",W16&gt;=Settings!$B$5,W16&lt;=EDATE(Settings!$B$5,Settings!$B$6)),"Yes","No")</f>
        <v>No</v>
      </c>
      <c r="Z16" s="7" t="n">
        <f aca="false">ROUND(Q16-U16,2)</f>
        <v>0</v>
      </c>
      <c r="AA16" s="9" t="str">
        <f aca="false">TRIM(IF(O16&lt;&gt;"Yes","Unsigned/incomplete; ","")&amp;IF(N16&lt;&gt;"Yes","Not assignable; ","")&amp;IF(OR(L16="",P16=""),"Cancellation terms missing; ","")&amp;IF(AND(M16&lt;&gt;"None",ISERROR(SEARCH("%",M16))),"Escalation ambiguous; ","")&amp;IF(Z16&lt;&gt;0,"Billed differs from contract; ","")&amp;IF(R16&gt;0,"Delinquent 90+; ","")&amp;IF(S16="Yes","Promo/free; ","")&amp;IF(X16="Month-to-month","Expired, billing MTM; ","")&amp;IF(COUNTIF('Billing Report'!$A$5:$A$30,A16)=0,"No matching billing; ",""))</f>
        <v/>
      </c>
      <c r="AB16" s="7" t="n">
        <f aca="false">IF(OR(O16&lt;&gt;"Yes",N16&lt;&gt;"Yes",R16&gt;0,S16="Yes"),0,U16)</f>
        <v>360</v>
      </c>
    </row>
  </sheetData>
  <conditionalFormatting sqref="AA5:AA16">
    <cfRule type="expression" priority="2" aboveAverage="0" equalAverage="0" bottom="0" percent="0" rank="0" text="" dxfId="0">
      <formula>AA5&lt;&gt;""</formula>
    </cfRule>
  </conditionalFormatting>
  <conditionalFormatting sqref="X5:X16">
    <cfRule type="expression" priority="3" aboveAverage="0" equalAverage="0" bottom="0" percent="0" rank="0" text="" dxfId="1">
      <formula>X5="Month-to-month"</formula>
    </cfRule>
  </conditionalFormatting>
  <conditionalFormatting sqref="Z5:Z16">
    <cfRule type="expression" priority="4" aboveAverage="0" equalAverage="0" bottom="0" percent="0" rank="0" text="" dxfId="1">
      <formula>Z5&lt;&gt;0</formula>
    </cfRule>
  </conditionalFormatting>
  <dataValidations count="7">
    <dataValidation allowBlank="true" errorStyle="stop" operator="between" showDropDown="false" showErrorMessage="false" showInputMessage="false" sqref="C5:C16" type="list">
      <formula1>"Residential,Commercial"</formula1>
      <formula2>0</formula2>
    </dataValidation>
    <dataValidation allowBlank="true" errorStyle="stop" operator="between" showDropDown="false" showErrorMessage="false" showInputMessage="false" sqref="F5:F16" type="list">
      <formula1>"Monthly,Quarterly,Annual,Other"</formula1>
      <formula2>0</formula2>
    </dataValidation>
    <dataValidation allowBlank="true" errorStyle="stop" operator="between" showDropDown="false" showErrorMessage="false" showInputMessage="false" sqref="G5:G16" type="list">
      <formula1>"Auto-pay,Manual"</formula1>
      <formula2>0</formula2>
    </dataValidation>
    <dataValidation allowBlank="true" errorStyle="stop" operator="between" showDropDown="false" showErrorMessage="false" showInputMessage="false" sqref="J5:J16" type="list">
      <formula1>"Yes,No"</formula1>
      <formula2>0</formula2>
    </dataValidation>
    <dataValidation allowBlank="true" errorStyle="stop" operator="between" showDropDown="false" showErrorMessage="false" showInputMessage="false" sqref="N5:N16" type="list">
      <formula1>"Yes,No"</formula1>
      <formula2>0</formula2>
    </dataValidation>
    <dataValidation allowBlank="true" errorStyle="stop" operator="between" showDropDown="false" showErrorMessage="false" showInputMessage="false" sqref="O5:O16" type="list">
      <formula1>"Yes,No"</formula1>
      <formula2>0</formula2>
    </dataValidation>
    <dataValidation allowBlank="true" errorStyle="stop" operator="between" showDropDown="false" showErrorMessage="false" showInputMessage="false" sqref="S5:S16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22"/>
  </cols>
  <sheetData>
    <row r="1" customFormat="false" ht="17.35" hidden="false" customHeight="false" outlineLevel="0" collapsed="false">
      <c r="A1" s="1" t="s">
        <v>86</v>
      </c>
      <c r="B1" s="2"/>
      <c r="C1" s="2"/>
      <c r="D1" s="2"/>
    </row>
    <row r="2" customFormat="false" ht="15" hidden="false" customHeight="false" outlineLevel="0" collapsed="false">
      <c r="A2" s="3" t="s">
        <v>1</v>
      </c>
    </row>
    <row r="4" customFormat="false" ht="28.35" hidden="false" customHeight="false" outlineLevel="0" collapsed="false">
      <c r="A4" s="4" t="s">
        <v>87</v>
      </c>
      <c r="B4" s="4" t="s">
        <v>88</v>
      </c>
      <c r="C4" s="4" t="s">
        <v>19</v>
      </c>
      <c r="D4" s="4" t="s">
        <v>89</v>
      </c>
    </row>
    <row r="5" customFormat="false" ht="15" hidden="false" customHeight="false" outlineLevel="0" collapsed="false">
      <c r="A5" s="6" t="s">
        <v>30</v>
      </c>
      <c r="B5" s="6" t="n">
        <v>39.95</v>
      </c>
      <c r="C5" s="6" t="n">
        <v>0</v>
      </c>
      <c r="D5" s="9" t="str">
        <f aca="false">IF(COUNTIF('Contract Abstraction'!$A$5:$A$40,A5)&gt;0,"Yes","No contract on file")</f>
        <v>Yes</v>
      </c>
    </row>
    <row r="6" customFormat="false" ht="15" hidden="false" customHeight="false" outlineLevel="0" collapsed="false">
      <c r="A6" s="6" t="s">
        <v>40</v>
      </c>
      <c r="B6" s="6" t="n">
        <v>150</v>
      </c>
      <c r="C6" s="6" t="n">
        <v>0</v>
      </c>
      <c r="D6" s="9" t="str">
        <f aca="false">IF(COUNTIF('Contract Abstraction'!$A$5:$A$40,A6)&gt;0,"Yes","No contract on file")</f>
        <v>Yes</v>
      </c>
    </row>
    <row r="7" customFormat="false" ht="15" hidden="false" customHeight="false" outlineLevel="0" collapsed="false">
      <c r="A7" s="6" t="s">
        <v>47</v>
      </c>
      <c r="B7" s="6" t="n">
        <v>289</v>
      </c>
      <c r="C7" s="6" t="n">
        <v>0</v>
      </c>
      <c r="D7" s="9" t="str">
        <f aca="false">IF(COUNTIF('Contract Abstraction'!$A$5:$A$40,A7)&gt;0,"Yes","No contract on file")</f>
        <v>Yes</v>
      </c>
    </row>
    <row r="8" customFormat="false" ht="15" hidden="false" customHeight="false" outlineLevel="0" collapsed="false">
      <c r="A8" s="6" t="s">
        <v>53</v>
      </c>
      <c r="B8" s="6" t="n">
        <v>34.99</v>
      </c>
      <c r="C8" s="6" t="n">
        <v>104.97</v>
      </c>
      <c r="D8" s="9" t="str">
        <f aca="false">IF(COUNTIF('Contract Abstraction'!$A$5:$A$40,A8)&gt;0,"Yes","No contract on file")</f>
        <v>Yes</v>
      </c>
    </row>
    <row r="9" customFormat="false" ht="15" hidden="false" customHeight="false" outlineLevel="0" collapsed="false">
      <c r="A9" s="6" t="s">
        <v>56</v>
      </c>
      <c r="B9" s="6" t="n">
        <v>120</v>
      </c>
      <c r="C9" s="6" t="n">
        <v>0</v>
      </c>
      <c r="D9" s="9" t="str">
        <f aca="false">IF(COUNTIF('Contract Abstraction'!$A$5:$A$40,A9)&gt;0,"Yes","No contract on file")</f>
        <v>Yes</v>
      </c>
    </row>
    <row r="10" customFormat="false" ht="15" hidden="false" customHeight="false" outlineLevel="0" collapsed="false">
      <c r="A10" s="6" t="s">
        <v>63</v>
      </c>
      <c r="B10" s="6" t="n">
        <v>29.99</v>
      </c>
      <c r="C10" s="6" t="n">
        <v>0</v>
      </c>
      <c r="D10" s="9" t="str">
        <f aca="false">IF(COUNTIF('Contract Abstraction'!$A$5:$A$40,A10)&gt;0,"Yes","No contract on file")</f>
        <v>Yes</v>
      </c>
    </row>
    <row r="11" customFormat="false" ht="15" hidden="false" customHeight="false" outlineLevel="0" collapsed="false">
      <c r="A11" s="6" t="s">
        <v>66</v>
      </c>
      <c r="B11" s="6" t="n">
        <v>95</v>
      </c>
      <c r="C11" s="6" t="n">
        <v>0</v>
      </c>
      <c r="D11" s="9" t="str">
        <f aca="false">IF(COUNTIF('Contract Abstraction'!$A$5:$A$40,A11)&gt;0,"Yes","No contract on file")</f>
        <v>Yes</v>
      </c>
    </row>
    <row r="12" customFormat="false" ht="15" hidden="false" customHeight="false" outlineLevel="0" collapsed="false">
      <c r="A12" s="6" t="s">
        <v>69</v>
      </c>
      <c r="B12" s="6" t="n">
        <v>0</v>
      </c>
      <c r="C12" s="6" t="n">
        <v>0</v>
      </c>
      <c r="D12" s="9" t="str">
        <f aca="false">IF(COUNTIF('Contract Abstraction'!$A$5:$A$40,A12)&gt;0,"Yes","No contract on file")</f>
        <v>Yes</v>
      </c>
    </row>
    <row r="13" customFormat="false" ht="15" hidden="false" customHeight="false" outlineLevel="0" collapsed="false">
      <c r="A13" s="6" t="s">
        <v>73</v>
      </c>
      <c r="B13" s="6" t="n">
        <v>100</v>
      </c>
      <c r="C13" s="6" t="n">
        <v>0</v>
      </c>
      <c r="D13" s="9" t="str">
        <f aca="false">IF(COUNTIF('Contract Abstraction'!$A$5:$A$40,A13)&gt;0,"Yes","No contract on file")</f>
        <v>Yes</v>
      </c>
    </row>
    <row r="14" customFormat="false" ht="15" hidden="false" customHeight="false" outlineLevel="0" collapsed="false">
      <c r="A14" s="6" t="s">
        <v>77</v>
      </c>
      <c r="B14" s="6" t="n">
        <v>44.95</v>
      </c>
      <c r="C14" s="6" t="n">
        <v>0</v>
      </c>
      <c r="D14" s="9" t="str">
        <f aca="false">IF(COUNTIF('Contract Abstraction'!$A$5:$A$40,A14)&gt;0,"Yes","No contract on file")</f>
        <v>Yes</v>
      </c>
    </row>
    <row r="15" customFormat="false" ht="15" hidden="false" customHeight="false" outlineLevel="0" collapsed="false">
      <c r="A15" s="6" t="s">
        <v>80</v>
      </c>
      <c r="B15" s="6" t="n">
        <v>70</v>
      </c>
      <c r="C15" s="6" t="n">
        <v>210</v>
      </c>
      <c r="D15" s="9" t="str">
        <f aca="false">IF(COUNTIF('Contract Abstraction'!$A$5:$A$40,A15)&gt;0,"Yes","No contract on file")</f>
        <v>Yes</v>
      </c>
    </row>
    <row r="16" customFormat="false" ht="15" hidden="false" customHeight="false" outlineLevel="0" collapsed="false">
      <c r="A16" s="6" t="s">
        <v>83</v>
      </c>
      <c r="B16" s="6" t="n">
        <v>360</v>
      </c>
      <c r="C16" s="6" t="n">
        <v>0</v>
      </c>
      <c r="D16" s="9" t="str">
        <f aca="false">IF(COUNTIF('Contract Abstraction'!$A$5:$A$40,A16)&gt;0,"Yes","No contract on file")</f>
        <v>Yes</v>
      </c>
    </row>
    <row r="17" customFormat="false" ht="15" hidden="false" customHeight="false" outlineLevel="0" collapsed="false">
      <c r="A17" s="6" t="s">
        <v>90</v>
      </c>
      <c r="B17" s="6" t="n">
        <v>55</v>
      </c>
      <c r="C17" s="6" t="n">
        <v>0</v>
      </c>
      <c r="D17" s="9" t="str">
        <f aca="false">IF(COUNTIF('Contract Abstraction'!$A$5:$A$40,A17)&gt;0,"Yes","No contract on file")</f>
        <v>No contract on file</v>
      </c>
    </row>
  </sheetData>
  <conditionalFormatting sqref="D5:D30">
    <cfRule type="expression" priority="2" aboveAverage="0" equalAverage="0" bottom="0" percent="0" rank="0" text="" dxfId="1">
      <formula>D5="No contract on file"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52"/>
    <col collapsed="false" customWidth="true" hidden="false" outlineLevel="0" max="3" min="3" style="0" width="14"/>
  </cols>
  <sheetData>
    <row r="1" customFormat="false" ht="17.35" hidden="false" customHeight="false" outlineLevel="0" collapsed="false">
      <c r="A1" s="1" t="s">
        <v>91</v>
      </c>
      <c r="B1" s="2"/>
      <c r="C1" s="2"/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92</v>
      </c>
      <c r="B4" s="4" t="s">
        <v>93</v>
      </c>
      <c r="C4" s="4" t="s">
        <v>94</v>
      </c>
    </row>
    <row r="5" customFormat="false" ht="15" hidden="false" customHeight="false" outlineLevel="0" collapsed="false">
      <c r="A5" s="6" t="s">
        <v>95</v>
      </c>
      <c r="B5" s="6" t="s">
        <v>96</v>
      </c>
      <c r="C5" s="7" t="n">
        <f aca="false">SUM('Contract Abstraction'!$U$5:$U$16)</f>
        <v>1346.43</v>
      </c>
    </row>
    <row r="6" customFormat="false" ht="15" hidden="false" customHeight="false" outlineLevel="0" collapsed="false">
      <c r="A6" s="6" t="s">
        <v>95</v>
      </c>
      <c r="B6" s="6" t="s">
        <v>97</v>
      </c>
      <c r="C6" s="7" t="n">
        <f aca="false">C5*12</f>
        <v>16157.16</v>
      </c>
    </row>
    <row r="7" customFormat="false" ht="15" hidden="false" customHeight="false" outlineLevel="0" collapsed="false">
      <c r="A7" s="6" t="s">
        <v>98</v>
      </c>
      <c r="B7" s="6" t="s">
        <v>33</v>
      </c>
      <c r="C7" s="7" t="n">
        <f aca="false">SUMIF('Contract Abstraction'!$D$5:$D$16,"Monitoring",'Contract Abstraction'!$U$5:$U$16)</f>
        <v>242.43</v>
      </c>
    </row>
    <row r="8" customFormat="false" ht="15" hidden="false" customHeight="false" outlineLevel="0" collapsed="false">
      <c r="A8" s="6" t="s">
        <v>98</v>
      </c>
      <c r="B8" s="6" t="s">
        <v>43</v>
      </c>
      <c r="C8" s="7" t="n">
        <f aca="false">SUMIF('Contract Abstraction'!$D$5:$D$16,"Fire",'Contract Abstraction'!$U$5:$U$16)</f>
        <v>510</v>
      </c>
    </row>
    <row r="9" customFormat="false" ht="15" hidden="false" customHeight="false" outlineLevel="0" collapsed="false">
      <c r="A9" s="6" t="s">
        <v>98</v>
      </c>
      <c r="B9" s="6" t="s">
        <v>49</v>
      </c>
      <c r="C9" s="7" t="n">
        <f aca="false">SUMIF('Contract Abstraction'!$D$5:$D$16,"Video",'Contract Abstraction'!$U$5:$U$16)</f>
        <v>289</v>
      </c>
    </row>
    <row r="10" customFormat="false" ht="15" hidden="false" customHeight="false" outlineLevel="0" collapsed="false">
      <c r="A10" s="6" t="s">
        <v>98</v>
      </c>
      <c r="B10" s="6" t="s">
        <v>58</v>
      </c>
      <c r="C10" s="7" t="n">
        <f aca="false">SUMIF('Contract Abstraction'!$D$5:$D$16,"Access control",'Contract Abstraction'!$U$5:$U$16)</f>
        <v>120</v>
      </c>
    </row>
    <row r="11" customFormat="false" ht="15" hidden="false" customHeight="false" outlineLevel="0" collapsed="false">
      <c r="A11" s="6" t="s">
        <v>98</v>
      </c>
      <c r="B11" s="6" t="s">
        <v>71</v>
      </c>
      <c r="C11" s="7" t="n">
        <f aca="false">SUMIF('Contract Abstraction'!$D$5:$D$16,"Cellular",'Contract Abstraction'!$U$5:$U$16)</f>
        <v>15</v>
      </c>
    </row>
    <row r="12" customFormat="false" ht="15" hidden="false" customHeight="false" outlineLevel="0" collapsed="false">
      <c r="A12" s="6" t="s">
        <v>98</v>
      </c>
      <c r="B12" s="6" t="s">
        <v>75</v>
      </c>
      <c r="C12" s="7" t="n">
        <f aca="false">SUMIF('Contract Abstraction'!$D$5:$D$16,"Inspection",'Contract Abstraction'!$U$5:$U$16)</f>
        <v>100</v>
      </c>
    </row>
    <row r="13" customFormat="false" ht="15" hidden="false" customHeight="false" outlineLevel="0" collapsed="false">
      <c r="A13" s="6" t="s">
        <v>98</v>
      </c>
      <c r="B13" s="6" t="s">
        <v>82</v>
      </c>
      <c r="C13" s="7" t="n">
        <f aca="false">SUMIF('Contract Abstraction'!$D$5:$D$16,"Service/maintenance",'Contract Abstraction'!$U$5:$U$16)</f>
        <v>70</v>
      </c>
    </row>
    <row r="14" customFormat="false" ht="15" hidden="false" customHeight="false" outlineLevel="0" collapsed="false">
      <c r="A14" s="6" t="s">
        <v>99</v>
      </c>
      <c r="B14" s="6" t="s">
        <v>32</v>
      </c>
      <c r="C14" s="7" t="n">
        <f aca="false">SUMIF('Contract Abstraction'!$C$5:$C$16,"Residential",'Contract Abstraction'!$U$5:$U$16)</f>
        <v>162.43</v>
      </c>
    </row>
    <row r="15" customFormat="false" ht="15" hidden="false" customHeight="false" outlineLevel="0" collapsed="false">
      <c r="A15" s="6" t="s">
        <v>99</v>
      </c>
      <c r="B15" s="6" t="s">
        <v>42</v>
      </c>
      <c r="C15" s="7" t="n">
        <f aca="false">SUMIF('Contract Abstraction'!$C$5:$C$16,"Commercial",'Contract Abstraction'!$U$5:$U$16)</f>
        <v>1184</v>
      </c>
    </row>
    <row r="16" customFormat="false" ht="15" hidden="false" customHeight="false" outlineLevel="0" collapsed="false">
      <c r="A16" s="6" t="s">
        <v>8</v>
      </c>
      <c r="B16" s="6" t="s">
        <v>35</v>
      </c>
      <c r="C16" s="7" t="n">
        <f aca="false">SUMIF('Contract Abstraction'!$G$5:$G$16,"Auto-pay",'Contract Abstraction'!$U$5:$U$16)</f>
        <v>871.44</v>
      </c>
    </row>
    <row r="17" customFormat="false" ht="15" hidden="false" customHeight="false" outlineLevel="0" collapsed="false">
      <c r="A17" s="6" t="s">
        <v>8</v>
      </c>
      <c r="B17" s="6" t="s">
        <v>45</v>
      </c>
      <c r="C17" s="7" t="n">
        <f aca="false">SUMIF('Contract Abstraction'!$G$5:$G$16,"Manual",'Contract Abstraction'!$U$5:$U$16)</f>
        <v>474.99</v>
      </c>
    </row>
    <row r="18" customFormat="false" ht="15" hidden="false" customHeight="false" outlineLevel="0" collapsed="false">
      <c r="A18" s="6" t="s">
        <v>25</v>
      </c>
      <c r="B18" s="6" t="s">
        <v>100</v>
      </c>
      <c r="C18" s="7" t="n">
        <f aca="false">SUMIF('Contract Abstraction'!$X$5:$X$16,"Active term",'Contract Abstraction'!$U$5:$U$16)</f>
        <v>587.48</v>
      </c>
    </row>
    <row r="19" customFormat="false" ht="15" hidden="false" customHeight="false" outlineLevel="0" collapsed="false">
      <c r="A19" s="6" t="s">
        <v>25</v>
      </c>
      <c r="B19" s="6" t="s">
        <v>101</v>
      </c>
      <c r="C19" s="7" t="n">
        <f aca="false">SUMIF('Contract Abstraction'!$X$5:$X$16,"Auto-renewed",'Contract Abstraction'!$U$5:$U$16)</f>
        <v>469.95</v>
      </c>
    </row>
    <row r="20" customFormat="false" ht="15" hidden="false" customHeight="false" outlineLevel="0" collapsed="false">
      <c r="A20" s="6" t="s">
        <v>25</v>
      </c>
      <c r="B20" s="6" t="s">
        <v>102</v>
      </c>
      <c r="C20" s="7" t="n">
        <f aca="false">SUMIF('Contract Abstraction'!$X$5:$X$16,"Month-to-month",'Contract Abstraction'!$U$5:$U$16)</f>
        <v>289</v>
      </c>
    </row>
    <row r="21" customFormat="false" ht="15" hidden="false" customHeight="false" outlineLevel="0" collapsed="false">
      <c r="A21" s="6" t="s">
        <v>103</v>
      </c>
      <c r="B21" s="6" t="s">
        <v>104</v>
      </c>
      <c r="C21" s="7" t="n">
        <f aca="false">SUMIF('Contract Abstraction'!$Y$5:$Y$16,"Yes",'Contract Abstraction'!$U$5:$U$16)</f>
        <v>467.45</v>
      </c>
    </row>
    <row r="22" customFormat="false" ht="15" hidden="false" customHeight="false" outlineLevel="0" collapsed="false">
      <c r="A22" s="6" t="s">
        <v>103</v>
      </c>
      <c r="B22" s="6" t="s">
        <v>105</v>
      </c>
      <c r="C22" s="10" t="n">
        <f aca="false">SUMPRODUCT(LARGE('Contract Abstraction'!$U$5:$U$16,{1,2,3,4,5,6,7,8,9,10}))/C5</f>
        <v>0.966585711845399</v>
      </c>
    </row>
    <row r="23" customFormat="false" ht="28.35" hidden="false" customHeight="false" outlineLevel="0" collapsed="false">
      <c r="A23" s="6" t="s">
        <v>106</v>
      </c>
      <c r="B23" s="6" t="s">
        <v>107</v>
      </c>
      <c r="C23" s="7" t="n">
        <f aca="false">C5-C24</f>
        <v>269.98</v>
      </c>
    </row>
    <row r="24" customFormat="false" ht="15" hidden="false" customHeight="false" outlineLevel="0" collapsed="false">
      <c r="A24" s="6" t="s">
        <v>106</v>
      </c>
      <c r="B24" s="6" t="s">
        <v>29</v>
      </c>
      <c r="C24" s="7" t="n">
        <f aca="false">SUM('Contract Abstraction'!$AB$5:$AB$16)</f>
        <v>1076.45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80"/>
    <col collapsed="false" customWidth="true" hidden="false" outlineLevel="0" max="4" min="4" style="0" width="12"/>
  </cols>
  <sheetData>
    <row r="1" customFormat="false" ht="17.35" hidden="false" customHeight="false" outlineLevel="0" collapsed="false">
      <c r="A1" s="1" t="s">
        <v>108</v>
      </c>
      <c r="B1" s="2"/>
      <c r="C1" s="2"/>
      <c r="D1" s="2"/>
    </row>
    <row r="2" customFormat="false" ht="15" hidden="false" customHeight="false" outlineLevel="0" collapsed="false">
      <c r="A2" s="3" t="s">
        <v>1</v>
      </c>
    </row>
    <row r="4" customFormat="false" ht="28.35" hidden="false" customHeight="false" outlineLevel="0" collapsed="false">
      <c r="A4" s="4" t="s">
        <v>2</v>
      </c>
      <c r="B4" s="4" t="s">
        <v>22</v>
      </c>
      <c r="C4" s="4" t="s">
        <v>28</v>
      </c>
      <c r="D4" s="4" t="s">
        <v>109</v>
      </c>
    </row>
    <row r="5" customFormat="false" ht="15" hidden="false" customHeight="false" outlineLevel="0" collapsed="false">
      <c r="A5" s="6" t="str">
        <f aca="false">'Contract Abstraction'!A5</f>
        <v>Customer A</v>
      </c>
      <c r="B5" s="7" t="n">
        <f aca="false">'Contract Abstraction'!U5</f>
        <v>39.95</v>
      </c>
      <c r="C5" s="6" t="str">
        <f aca="false">'Contract Abstraction'!AA5</f>
        <v/>
      </c>
      <c r="D5" s="9" t="str">
        <f aca="false">IF('Contract Abstraction'!AA5="","OK",IF('Contract Abstraction'!AB5=0,"Excluded","Review"))</f>
        <v>OK</v>
      </c>
    </row>
    <row r="6" customFormat="false" ht="15" hidden="false" customHeight="false" outlineLevel="0" collapsed="false">
      <c r="A6" s="6" t="str">
        <f aca="false">'Contract Abstraction'!A6</f>
        <v>Customer B</v>
      </c>
      <c r="B6" s="7" t="n">
        <f aca="false">'Contract Abstraction'!U6</f>
        <v>150</v>
      </c>
      <c r="C6" s="6" t="str">
        <f aca="false">'Contract Abstraction'!AA6</f>
        <v/>
      </c>
      <c r="D6" s="9" t="str">
        <f aca="false">IF('Contract Abstraction'!AA6="","OK",IF('Contract Abstraction'!AB6=0,"Excluded","Review"))</f>
        <v>OK</v>
      </c>
    </row>
    <row r="7" customFormat="false" ht="15" hidden="false" customHeight="false" outlineLevel="0" collapsed="false">
      <c r="A7" s="6" t="str">
        <f aca="false">'Contract Abstraction'!A7</f>
        <v>Customer C</v>
      </c>
      <c r="B7" s="7" t="n">
        <f aca="false">'Contract Abstraction'!U7</f>
        <v>289</v>
      </c>
      <c r="C7" s="6" t="str">
        <f aca="false">'Contract Abstraction'!AA7</f>
        <v>Expired, billing MTM;</v>
      </c>
      <c r="D7" s="9" t="str">
        <f aca="false">IF('Contract Abstraction'!AA7="","OK",IF('Contract Abstraction'!AB7=0,"Excluded","Review"))</f>
        <v>Review</v>
      </c>
    </row>
    <row r="8" customFormat="false" ht="15" hidden="false" customHeight="false" outlineLevel="0" collapsed="false">
      <c r="A8" s="6" t="str">
        <f aca="false">'Contract Abstraction'!A8</f>
        <v>Customer D</v>
      </c>
      <c r="B8" s="7" t="n">
        <f aca="false">'Contract Abstraction'!U8</f>
        <v>34.99</v>
      </c>
      <c r="C8" s="6" t="str">
        <f aca="false">'Contract Abstraction'!AA8</f>
        <v>Cancellation terms missing; Delinquent 90+;</v>
      </c>
      <c r="D8" s="9" t="str">
        <f aca="false">IF('Contract Abstraction'!AA8="","OK",IF('Contract Abstraction'!AB8=0,"Excluded","Review"))</f>
        <v>Excluded</v>
      </c>
    </row>
    <row r="9" customFormat="false" ht="15" hidden="false" customHeight="false" outlineLevel="0" collapsed="false">
      <c r="A9" s="6" t="str">
        <f aca="false">'Contract Abstraction'!A9</f>
        <v>Customer E</v>
      </c>
      <c r="B9" s="7" t="n">
        <f aca="false">'Contract Abstraction'!U9</f>
        <v>120</v>
      </c>
      <c r="C9" s="6" t="str">
        <f aca="false">'Contract Abstraction'!AA9</f>
        <v>Not assignable; Escalation ambiguous;</v>
      </c>
      <c r="D9" s="9" t="str">
        <f aca="false">IF('Contract Abstraction'!AA9="","OK",IF('Contract Abstraction'!AB9=0,"Excluded","Review"))</f>
        <v>Excluded</v>
      </c>
    </row>
    <row r="10" customFormat="false" ht="15" hidden="false" customHeight="false" outlineLevel="0" collapsed="false">
      <c r="A10" s="6" t="str">
        <f aca="false">'Contract Abstraction'!A10</f>
        <v>Customer F</v>
      </c>
      <c r="B10" s="7" t="n">
        <f aca="false">'Contract Abstraction'!U10</f>
        <v>29.99</v>
      </c>
      <c r="C10" s="6" t="str">
        <f aca="false">'Contract Abstraction'!AA10</f>
        <v>Unsigned/incomplete;</v>
      </c>
      <c r="D10" s="9" t="str">
        <f aca="false">IF('Contract Abstraction'!AA10="","OK",IF('Contract Abstraction'!AB10=0,"Excluded","Review"))</f>
        <v>Excluded</v>
      </c>
    </row>
    <row r="11" customFormat="false" ht="15" hidden="false" customHeight="false" outlineLevel="0" collapsed="false">
      <c r="A11" s="6" t="str">
        <f aca="false">'Contract Abstraction'!A11</f>
        <v>Customer G</v>
      </c>
      <c r="B11" s="7" t="n">
        <f aca="false">'Contract Abstraction'!U11</f>
        <v>95</v>
      </c>
      <c r="C11" s="6" t="str">
        <f aca="false">'Contract Abstraction'!AA11</f>
        <v/>
      </c>
      <c r="D11" s="9" t="str">
        <f aca="false">IF('Contract Abstraction'!AA11="","OK",IF('Contract Abstraction'!AB11=0,"Excluded","Review"))</f>
        <v>OK</v>
      </c>
    </row>
    <row r="12" customFormat="false" ht="15" hidden="false" customHeight="false" outlineLevel="0" collapsed="false">
      <c r="A12" s="6" t="str">
        <f aca="false">'Contract Abstraction'!A12</f>
        <v>Customer H</v>
      </c>
      <c r="B12" s="7" t="n">
        <f aca="false">'Contract Abstraction'!U12</f>
        <v>15</v>
      </c>
      <c r="C12" s="6" t="str">
        <f aca="false">'Contract Abstraction'!AA12</f>
        <v>Billed differs from contract; Promo/free;</v>
      </c>
      <c r="D12" s="9" t="str">
        <f aca="false">IF('Contract Abstraction'!AA12="","OK",IF('Contract Abstraction'!AB12=0,"Excluded","Review"))</f>
        <v>Excluded</v>
      </c>
    </row>
    <row r="13" customFormat="false" ht="15" hidden="false" customHeight="false" outlineLevel="0" collapsed="false">
      <c r="A13" s="6" t="str">
        <f aca="false">'Contract Abstraction'!A13</f>
        <v>Customer I</v>
      </c>
      <c r="B13" s="7" t="n">
        <f aca="false">'Contract Abstraction'!U13</f>
        <v>100</v>
      </c>
      <c r="C13" s="6" t="str">
        <f aca="false">'Contract Abstraction'!AA13</f>
        <v/>
      </c>
      <c r="D13" s="9" t="str">
        <f aca="false">IF('Contract Abstraction'!AA13="","OK",IF('Contract Abstraction'!AB13=0,"Excluded","Review"))</f>
        <v>OK</v>
      </c>
    </row>
    <row r="14" customFormat="false" ht="15" hidden="false" customHeight="false" outlineLevel="0" collapsed="false">
      <c r="A14" s="6" t="str">
        <f aca="false">'Contract Abstraction'!A14</f>
        <v>Customer J</v>
      </c>
      <c r="B14" s="7" t="n">
        <f aca="false">'Contract Abstraction'!U14</f>
        <v>42.5</v>
      </c>
      <c r="C14" s="6" t="str">
        <f aca="false">'Contract Abstraction'!AA14</f>
        <v>Billed differs from contract;</v>
      </c>
      <c r="D14" s="9" t="str">
        <f aca="false">IF('Contract Abstraction'!AA14="","OK",IF('Contract Abstraction'!AB14=0,"Excluded","Review"))</f>
        <v>Review</v>
      </c>
    </row>
    <row r="15" customFormat="false" ht="15" hidden="false" customHeight="false" outlineLevel="0" collapsed="false">
      <c r="A15" s="6" t="str">
        <f aca="false">'Contract Abstraction'!A15</f>
        <v>Customer K</v>
      </c>
      <c r="B15" s="7" t="n">
        <f aca="false">'Contract Abstraction'!U15</f>
        <v>70</v>
      </c>
      <c r="C15" s="6" t="str">
        <f aca="false">'Contract Abstraction'!AA15</f>
        <v>Delinquent 90+;</v>
      </c>
      <c r="D15" s="9" t="str">
        <f aca="false">IF('Contract Abstraction'!AA15="","OK",IF('Contract Abstraction'!AB15=0,"Excluded","Review"))</f>
        <v>Excluded</v>
      </c>
    </row>
    <row r="16" customFormat="false" ht="15" hidden="false" customHeight="false" outlineLevel="0" collapsed="false">
      <c r="A16" s="6" t="str">
        <f aca="false">'Contract Abstraction'!A16</f>
        <v>Customer L</v>
      </c>
      <c r="B16" s="7" t="n">
        <f aca="false">'Contract Abstraction'!U16</f>
        <v>360</v>
      </c>
      <c r="C16" s="6" t="str">
        <f aca="false">'Contract Abstraction'!AA16</f>
        <v/>
      </c>
      <c r="D16" s="9" t="str">
        <f aca="false">IF('Contract Abstraction'!AA16="","OK",IF('Contract Abstraction'!AB16=0,"Excluded","Review"))</f>
        <v>OK</v>
      </c>
    </row>
  </sheetData>
  <conditionalFormatting sqref="D5:D16">
    <cfRule type="expression" priority="2" aboveAverage="0" equalAverage="0" bottom="0" percent="0" rank="0" text="" dxfId="1">
      <formula>D5="Excluded"</formula>
    </cfRule>
    <cfRule type="expression" priority="3" aboveAverage="0" equalAverage="0" bottom="0" percent="0" rank="0" text="" dxfId="0">
      <formula>D5="Review"</formula>
    </cfRule>
    <cfRule type="expression" priority="4" aboveAverage="0" equalAverage="0" bottom="0" percent="0" rank="0" text="" dxfId="2">
      <formula>D5="OK"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2"/>
    <col collapsed="false" customWidth="true" hidden="false" outlineLevel="0" max="4" min="4" style="0" width="10"/>
    <col collapsed="false" customWidth="true" hidden="false" outlineLevel="0" max="5" min="5" style="0" width="62"/>
  </cols>
  <sheetData>
    <row r="1" customFormat="false" ht="17.35" hidden="false" customHeight="false" outlineLevel="0" collapsed="false">
      <c r="A1" s="1" t="s">
        <v>110</v>
      </c>
      <c r="B1" s="2"/>
      <c r="C1" s="2"/>
      <c r="D1" s="2"/>
      <c r="E1" s="2"/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111</v>
      </c>
      <c r="B4" s="4" t="s">
        <v>112</v>
      </c>
      <c r="C4" s="4" t="s">
        <v>113</v>
      </c>
      <c r="D4" s="4" t="s">
        <v>114</v>
      </c>
      <c r="E4" s="4" t="s">
        <v>115</v>
      </c>
    </row>
    <row r="5" customFormat="false" ht="15" hidden="false" customHeight="false" outlineLevel="0" collapsed="false">
      <c r="A5" s="6" t="s">
        <v>116</v>
      </c>
      <c r="B5" s="7" t="n">
        <f aca="false">'RMR Summary'!C5</f>
        <v>1346.43</v>
      </c>
      <c r="C5" s="7" t="n">
        <f aca="false">SUM('RMR Summary'!C7:C13)</f>
        <v>1346.43</v>
      </c>
      <c r="D5" s="9" t="str">
        <f aca="false">IF(ROUND(B5-C5,2)=0,"PASS","FAIL")</f>
        <v>PASS</v>
      </c>
      <c r="E5" s="6" t="s">
        <v>117</v>
      </c>
    </row>
    <row r="6" customFormat="false" ht="15" hidden="false" customHeight="false" outlineLevel="0" collapsed="false">
      <c r="A6" s="6" t="s">
        <v>118</v>
      </c>
      <c r="B6" s="7" t="n">
        <f aca="false">'RMR Summary'!C5</f>
        <v>1346.43</v>
      </c>
      <c r="C6" s="7" t="n">
        <f aca="false">'RMR Summary'!C14+'RMR Summary'!C15</f>
        <v>1346.43</v>
      </c>
      <c r="D6" s="9" t="str">
        <f aca="false">IF(ROUND(B6-C6,2)=0,"PASS","FAIL")</f>
        <v>PASS</v>
      </c>
      <c r="E6" s="6" t="s">
        <v>119</v>
      </c>
    </row>
    <row r="7" customFormat="false" ht="15" hidden="false" customHeight="false" outlineLevel="0" collapsed="false">
      <c r="A7" s="6" t="s">
        <v>120</v>
      </c>
      <c r="B7" s="7" t="n">
        <f aca="false">'RMR Summary'!C5</f>
        <v>1346.43</v>
      </c>
      <c r="C7" s="7" t="n">
        <f aca="false">'RMR Summary'!C16+'RMR Summary'!C17</f>
        <v>1346.43</v>
      </c>
      <c r="D7" s="9" t="str">
        <f aca="false">IF(ROUND(B7-C7,2)=0,"PASS","FAIL")</f>
        <v>PASS</v>
      </c>
      <c r="E7" s="6" t="s">
        <v>121</v>
      </c>
    </row>
    <row r="8" customFormat="false" ht="15" hidden="false" customHeight="false" outlineLevel="0" collapsed="false">
      <c r="A8" s="6" t="s">
        <v>122</v>
      </c>
      <c r="B8" s="7" t="n">
        <f aca="false">'RMR Summary'!C5</f>
        <v>1346.43</v>
      </c>
      <c r="C8" s="7" t="n">
        <f aca="false">'RMR Summary'!C18+'RMR Summary'!C19+'RMR Summary'!C20</f>
        <v>1346.43</v>
      </c>
      <c r="D8" s="9" t="str">
        <f aca="false">IF(ROUND(B8-C8,2)=0,"PASS","FAIL")</f>
        <v>PASS</v>
      </c>
      <c r="E8" s="6" t="s">
        <v>123</v>
      </c>
    </row>
    <row r="9" customFormat="false" ht="15" hidden="false" customHeight="false" outlineLevel="0" collapsed="false">
      <c r="A9" s="6" t="s">
        <v>124</v>
      </c>
      <c r="B9" s="7" t="n">
        <f aca="false">'RMR Summary'!C5</f>
        <v>1346.43</v>
      </c>
      <c r="C9" s="7" t="n">
        <f aca="false">'RMR Summary'!C24+'RMR Summary'!C23</f>
        <v>1346.43</v>
      </c>
      <c r="D9" s="9" t="str">
        <f aca="false">IF(ROUND(B9-C9,2)=0,"PASS","FAIL")</f>
        <v>PASS</v>
      </c>
      <c r="E9" s="6" t="s">
        <v>125</v>
      </c>
    </row>
    <row r="10" customFormat="false" ht="15" hidden="false" customHeight="false" outlineLevel="0" collapsed="false">
      <c r="A10" s="6" t="s">
        <v>126</v>
      </c>
      <c r="B10" s="7" t="n">
        <f aca="false">COUNTIF('Contract Abstraction'!$Z$5:$Z$16,"&lt;&gt;0")</f>
        <v>2</v>
      </c>
      <c r="C10" s="7" t="n">
        <f aca="false">COUNTIF('Contract Abstraction'!$AA$5:$AA$16,"*Billed differs*")</f>
        <v>2</v>
      </c>
      <c r="D10" s="9" t="str">
        <f aca="false">IF(ROUND(B10-C10,2)=0,"PASS","FAIL")</f>
        <v>PASS</v>
      </c>
      <c r="E10" s="6" t="s">
        <v>127</v>
      </c>
    </row>
    <row r="11" customFormat="false" ht="15" hidden="false" customHeight="false" outlineLevel="0" collapsed="false">
      <c r="A11" s="6" t="s">
        <v>128</v>
      </c>
      <c r="B11" s="7" t="n">
        <f aca="false">COUNTA('Contract Abstraction'!$A$5:$A$16)</f>
        <v>12</v>
      </c>
      <c r="C11" s="7" t="n">
        <f aca="false">SUMPRODUCT(--((('Contract Abstraction'!L5:L16&lt;&gt;"")*('Contract Abstraction'!P5:P16&lt;&gt;""))+ISNUMBER(SEARCH("Cancellation terms missing",'Contract Abstraction'!AA5:AA16))&gt;0))</f>
        <v>12</v>
      </c>
      <c r="D11" s="9" t="str">
        <f aca="false">IF(ROUND(B11-C11,2)=0,"PASS","FAIL")</f>
        <v>PASS</v>
      </c>
      <c r="E11" s="6" t="s">
        <v>129</v>
      </c>
    </row>
    <row r="12" customFormat="false" ht="15" hidden="false" customHeight="false" outlineLevel="0" collapsed="false">
      <c r="A12" s="6" t="s">
        <v>130</v>
      </c>
      <c r="B12" s="7" t="n">
        <v>1</v>
      </c>
      <c r="C12" s="7" t="n">
        <f aca="false">COUNTIF('Billing Report'!D5:D30,"No contract on file")</f>
        <v>1</v>
      </c>
      <c r="D12" s="9" t="str">
        <f aca="false">IF(ROUND(B12-C12,2)=0,"PASS","FAIL")</f>
        <v>PASS</v>
      </c>
      <c r="E12" s="6" t="s">
        <v>131</v>
      </c>
    </row>
    <row r="13" customFormat="false" ht="15" hidden="false" customHeight="false" outlineLevel="0" collapsed="false">
      <c r="A13" s="6" t="s">
        <v>132</v>
      </c>
      <c r="B13" s="7" t="n">
        <v>12</v>
      </c>
      <c r="C13" s="7" t="n">
        <f aca="false">COUNTA('Contract Abstraction'!$A$5:$A$16)</f>
        <v>12</v>
      </c>
      <c r="D13" s="9" t="str">
        <f aca="false">IF(ROUND(B13-C13,2)=0,"PASS","FAIL")</f>
        <v>PASS</v>
      </c>
      <c r="E13" s="6" t="s">
        <v>133</v>
      </c>
    </row>
  </sheetData>
  <conditionalFormatting sqref="D5:D13">
    <cfRule type="expression" priority="2" aboveAverage="0" equalAverage="0" bottom="0" percent="0" rank="0" text="" dxfId="2">
      <formula>D5="PASS"</formula>
    </cfRule>
    <cfRule type="expression" priority="3" aboveAverage="0" equalAverage="0" bottom="0" percent="0" rank="0" text="" dxfId="1">
      <formula>D5="FAIL"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10"/>
  </cols>
  <sheetData>
    <row r="1" customFormat="false" ht="17.35" hidden="false" customHeight="false" outlineLevel="0" collapsed="false">
      <c r="A1" s="1" t="s">
        <v>134</v>
      </c>
      <c r="B1" s="2"/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135</v>
      </c>
      <c r="B4" s="4" t="s">
        <v>136</v>
      </c>
    </row>
    <row r="5" customFormat="false" ht="15" hidden="false" customHeight="false" outlineLevel="0" collapsed="false">
      <c r="A5" s="6" t="s">
        <v>137</v>
      </c>
      <c r="B5" s="6" t="s">
        <v>138</v>
      </c>
    </row>
    <row r="6" customFormat="false" ht="15" hidden="false" customHeight="false" outlineLevel="0" collapsed="false">
      <c r="A6" s="6" t="s">
        <v>139</v>
      </c>
      <c r="B6" s="6" t="s">
        <v>140</v>
      </c>
    </row>
    <row r="7" customFormat="false" ht="28.35" hidden="false" customHeight="false" outlineLevel="0" collapsed="false">
      <c r="A7" s="6" t="s">
        <v>141</v>
      </c>
      <c r="B7" s="6" t="s">
        <v>142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4"/>
    <col collapsed="false" customWidth="true" hidden="false" outlineLevel="0" max="3" min="3" style="0" width="60"/>
  </cols>
  <sheetData>
    <row r="1" customFormat="false" ht="17.35" hidden="false" customHeight="false" outlineLevel="0" collapsed="false">
      <c r="A1" s="1" t="s">
        <v>143</v>
      </c>
      <c r="B1" s="2"/>
      <c r="C1" s="2"/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144</v>
      </c>
      <c r="B4" s="4" t="s">
        <v>94</v>
      </c>
      <c r="C4" s="4" t="s">
        <v>136</v>
      </c>
    </row>
    <row r="5" customFormat="false" ht="15" hidden="false" customHeight="false" outlineLevel="0" collapsed="false">
      <c r="A5" s="6" t="s">
        <v>145</v>
      </c>
      <c r="B5" s="8" t="n">
        <v>46326</v>
      </c>
      <c r="C5" s="6" t="s">
        <v>146</v>
      </c>
    </row>
    <row r="6" customFormat="false" ht="15" hidden="false" customHeight="false" outlineLevel="0" collapsed="false">
      <c r="A6" s="6" t="s">
        <v>147</v>
      </c>
      <c r="B6" s="6" t="n">
        <v>12</v>
      </c>
      <c r="C6" s="6" t="s">
        <v>148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2026-10-27T07:42:48Z</dcterms:created>
  <dc:creator>openpyxl</dc:creator>
  <dc:description/>
  <dc:language>en-US</dc:language>
  <cp:lastModifiedBy/>
  <dcterms:modified xsi:type="dcterms:W3CDTF">2026-10-27T07:42:48Z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