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Jobs" sheetId="2" state="visible" r:id="rId2"/>
    <sheet xmlns:r="http://schemas.openxmlformats.org/officeDocument/2006/relationships" name="Timesheet" sheetId="3" state="visible" r:id="rId3"/>
    <sheet xmlns:r="http://schemas.openxmlformats.org/officeDocument/2006/relationships" name="Costs" sheetId="4" state="visible" r:id="rId4"/>
    <sheet xmlns:r="http://schemas.openxmlformats.org/officeDocument/2006/relationships" name="Lists" sheetId="5" state="visible" r:id="rId5"/>
    <sheet xmlns:r="http://schemas.openxmlformats.org/officeDocument/2006/relationships" name="Checks" sheetId="6" state="visible" r:id="rId6"/>
    <sheet xmlns:r="http://schemas.openxmlformats.org/officeDocument/2006/relationships" name="How to use" sheetId="7" state="visible" r:id="rId7"/>
  </sheets>
  <definedNames>
    <definedName name="_xlnm.Print_Area" localSheetId="0">'Dashboard'!$A$1:$M$44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/yyyy"/>
    <numFmt numFmtId="166" formatCode="$#,##0;[Red]-$#,##0;&quot;-&quot;"/>
    <numFmt numFmtId="167" formatCode="$#,##0.00;[Red]-$#,##0.00;&quot;-&quot;"/>
    <numFmt numFmtId="168" formatCode="0.0%"/>
    <numFmt numFmtId="169" formatCode="0.0"/>
  </numFmts>
  <fonts count="9">
    <font>
      <name val="Calibri"/>
      <family val="2"/>
      <color theme="1"/>
      <sz val="11"/>
      <scheme val="minor"/>
    </font>
    <font>
      <b val="1"/>
      <color rgb="00FFFFFF"/>
    </font>
    <font>
      <i val="1"/>
      <color rgb="007F8C8D"/>
    </font>
    <font>
      <b val="1"/>
      <color rgb="0012355B"/>
      <sz val="20"/>
    </font>
    <font>
      <i val="1"/>
      <color rgb="00B45309"/>
    </font>
    <font>
      <b val="1"/>
      <color rgb="005D6D7A"/>
      <sz val="9"/>
    </font>
    <font>
      <b val="1"/>
      <color rgb="0012355B"/>
      <sz val="16"/>
    </font>
    <font>
      <b val="1"/>
      <color rgb="0012355B"/>
      <sz val="14"/>
    </font>
    <font>
      <b val="1"/>
      <color rgb="0012355B"/>
    </font>
  </fonts>
  <fills count="5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FFF9E6"/>
      </patternFill>
    </fill>
    <fill>
      <patternFill patternType="solid">
        <fgColor rgb="00EEF4F8"/>
      </patternFill>
    </fill>
  </fills>
  <borders count="3">
    <border>
      <left/>
      <right/>
      <top/>
      <bottom/>
      <diagonal/>
    </border>
    <border>
      <bottom style="thick">
        <color rgb="001F6F8B"/>
      </bottom>
    </border>
    <border>
      <bottom style="thin">
        <color rgb="00D5DE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applyAlignment="1" pivotButton="0" quotePrefix="0" xfId="0">
      <alignment vertical="bottom" wrapText="1"/>
    </xf>
    <xf numFmtId="1" fontId="6" fillId="4" borderId="1" pivotButton="0" quotePrefix="0" xfId="0"/>
    <xf numFmtId="166" fontId="6" fillId="4" borderId="1" pivotButton="0" quotePrefix="0" xfId="0"/>
    <xf numFmtId="168" fontId="6" fillId="4" borderId="1" pivotButton="0" quotePrefix="0" xfId="0"/>
    <xf numFmtId="0" fontId="1" fillId="2" borderId="0" pivotButton="0" quotePrefix="0" xfId="0"/>
    <xf numFmtId="0" fontId="0" fillId="0" borderId="2" pivotButton="0" quotePrefix="0" xfId="0"/>
    <xf numFmtId="166" fontId="0" fillId="0" borderId="2" pivotButton="0" quotePrefix="0" xfId="0"/>
    <xf numFmtId="9" fontId="0" fillId="0" borderId="2" pivotButton="0" quotePrefix="0" xfId="0"/>
    <xf numFmtId="166" fontId="0" fillId="0" borderId="0" pivotButton="0" quotePrefix="0" xfId="0"/>
    <xf numFmtId="169" fontId="0" fillId="0" borderId="0" pivotButton="0" quotePrefix="0" xfId="0"/>
    <xf numFmtId="0" fontId="8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0" fillId="3" borderId="0" pivotButton="0" quotePrefix="0" xfId="0"/>
    <xf numFmtId="165" fontId="0" fillId="3" borderId="0" pivotButton="0" quotePrefix="0" xfId="0"/>
    <xf numFmtId="166" fontId="0" fillId="3" borderId="0" pivotButton="0" quotePrefix="0" xfId="0"/>
    <xf numFmtId="9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6">
    <dxf>
      <fill>
        <patternFill patternType="solid">
          <fgColor rgb="00FDE2E1"/>
        </patternFill>
      </fill>
    </dxf>
    <dxf>
      <fill>
        <patternFill patternType="solid">
          <fgColor rgb="00FFF1D6"/>
        </patternFill>
      </fill>
    </dxf>
    <dxf>
      <fill>
        <patternFill patternType="solid">
          <fgColor rgb="00D4EDDA"/>
        </patternFill>
      </fill>
    </dxf>
    <dxf>
      <font>
        <b val="1"/>
        <color rgb="008A1C1C"/>
      </font>
    </dxf>
    <dxf>
      <font>
        <b val="1"/>
        <color rgb="008A1C1C"/>
      </font>
      <fill>
        <patternFill patternType="solid">
          <fgColor rgb="00FDE2E1"/>
        </patternFill>
      </fill>
    </dxf>
    <dxf>
      <font>
        <b val="1"/>
        <color rgb="008A5A00"/>
      </font>
      <fill>
        <patternFill patternType="solid">
          <fgColor rgb="00FFF1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 vs actual cost by job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'Dashboard'!E8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'Dashboard'!$B$9:$B$20</f>
            </numRef>
          </cat>
          <val>
            <numRef>
              <f>'Dashboard'!$E$9:$E$20</f>
            </numRef>
          </val>
        </ser>
        <ser>
          <idx val="1"/>
          <order val="1"/>
          <tx>
            <strRef>
              <f>'Dashboard'!F8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'Dashboard'!$B$9:$B$20</f>
            </numRef>
          </cat>
          <val>
            <numRef>
              <f>'Dashboard'!$F$9:$F$20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 by category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'Dashboard'!K8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'Dashboard'!$J$9:$J$14</f>
            </numRef>
          </cat>
          <val>
            <numRef>
              <f>'Dashboard'!$K$9:$K$14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22</row>
      <rowOff>0</rowOff>
    </from>
    <ext cx="6120000" cy="34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22</row>
      <rowOff>0</rowOff>
    </from>
    <ext cx="4140000" cy="34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JobsTable" displayName="JobsTable" ref="A1:R13" headerRowCount="1">
  <autoFilter ref="A1:R13"/>
  <tableColumns count="18">
    <tableColumn id="1" name="Job ID"/>
    <tableColumn id="2" name="Client"/>
    <tableColumn id="3" name="Job type"/>
    <tableColumn id="4" name="Start date"/>
    <tableColumn id="5" name="Status"/>
    <tableColumn id="6" name="Quote (ex. extras)"/>
    <tableColumn id="7" name="Budget labour hrs"/>
    <tableColumn id="8" name="Budget labour cost"/>
    <tableColumn id="9" name="Budget materials &amp; other"/>
    <tableColumn id="10" name="Budget total cost"/>
    <tableColumn id="11" name="Actual hrs"/>
    <tableColumn id="12" name="Actual labour cost"/>
    <tableColumn id="13" name="Actual materials &amp; other"/>
    <tableColumn id="14" name="Actual total cost"/>
    <tableColumn id="15" name="Gross profit"/>
    <tableColumn id="16" name="Margin %"/>
    <tableColumn id="17" name="Budget used %"/>
    <tableColumn id="18" name="Flag"/>
  </tableColumns>
  <tableStyleInfo name="TableStyleLight9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F6F8B"/>
    <outlinePr summaryBelow="1" summaryRight="1"/>
    <pageSetUpPr fitToPage="1"/>
  </sheetPr>
  <dimension ref="B2:K2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7" customWidth="1" min="2" max="2"/>
    <col width="14" customWidth="1" min="3" max="3"/>
    <col width="14" customWidth="1" min="4" max="4"/>
    <col width="14" customWidth="1" min="5" max="5"/>
    <col width="14" customWidth="1" min="6" max="6"/>
    <col width="12" customWidth="1" min="7" max="7"/>
    <col width="13" customWidth="1" min="8" max="8"/>
    <col width="3" customWidth="1" min="9" max="9"/>
    <col width="20" customWidth="1" min="10" max="10"/>
    <col width="14" customWidth="1" min="11" max="11"/>
    <col width="14" customWidth="1" min="12" max="12"/>
    <col width="3" customWidth="1" min="13" max="13"/>
  </cols>
  <sheetData>
    <row r="2">
      <c r="B2" s="1" t="inlineStr">
        <is>
          <t>Job Costing Dashboard</t>
        </is>
      </c>
    </row>
    <row r="3">
      <c r="B3" s="2" t="inlineStr">
        <is>
          <t>Sample carpentry business · Jul–Oct 2026 · Sample project, placeholder data</t>
        </is>
      </c>
    </row>
    <row r="5" ht="30" customHeight="1">
      <c r="B5" s="3" t="inlineStr">
        <is>
          <t>Active jobs</t>
        </is>
      </c>
      <c r="C5" s="3" t="inlineStr">
        <is>
          <t>Quoted value (all jobs)</t>
        </is>
      </c>
      <c r="D5" s="3" t="inlineStr">
        <is>
          <t>Actual cost to date</t>
        </is>
      </c>
      <c r="E5" s="3" t="inlineStr">
        <is>
          <t>Gross profit, finished jobs</t>
        </is>
      </c>
      <c r="F5" s="3" t="inlineStr">
        <is>
          <t>Avg margin, finished jobs</t>
        </is>
      </c>
      <c r="G5" s="3" t="inlineStr">
        <is>
          <t>Jobs over budget</t>
        </is>
      </c>
      <c r="H5" s="3" t="inlineStr">
        <is>
          <t>Jobs at risk</t>
        </is>
      </c>
    </row>
    <row r="6" ht="28" customHeight="1">
      <c r="B6" s="4">
        <f>COUNTIF(Jobs!E2:E200,"In progress")+COUNTIF(Jobs!E2:E200,"Booked")</f>
        <v>4</v>
      </c>
      <c r="C6" s="5">
        <f>SUM(Jobs!F2:F200)</f>
        <v>117330</v>
      </c>
      <c r="D6" s="5">
        <f>SUM(Jobs!N2:N200)</f>
        <v>67675.5</v>
      </c>
      <c r="E6" s="5">
        <f>SUMIFS(Jobs!O2:O200,Jobs!E2:E200,"Complete")+SUMIFS(Jobs!O2:O200,Jobs!E2:E200,"Invoiced")</f>
        <v>14663</v>
      </c>
      <c r="F6" s="6">
        <f>E6/(SUMIFS(Jobs!F2:F200,Jobs!E2:E200,"Complete")+SUMIFS(Jobs!F2:F200,Jobs!E2:E200,"Invoiced"))</f>
        <v>0.24405792276964</v>
      </c>
      <c r="G6" s="4">
        <f>COUNTIF(Jobs!R2:R200,"Over budget")</f>
        <v>3</v>
      </c>
      <c r="H6" s="4">
        <f>COUNTIF(Jobs!R2:R200,"At risk")</f>
        <v>1</v>
      </c>
    </row>
    <row r="8">
      <c r="B8" s="7" t="inlineStr">
        <is>
          <t>Job</t>
        </is>
      </c>
      <c r="C8" s="7" t="inlineStr">
        <is>
          <t>Status</t>
        </is>
      </c>
      <c r="D8" s="7" t="inlineStr">
        <is>
          <t>Quote</t>
        </is>
      </c>
      <c r="E8" s="7" t="inlineStr">
        <is>
          <t>Budget cost</t>
        </is>
      </c>
      <c r="F8" s="7" t="inlineStr">
        <is>
          <t>Actual cost</t>
        </is>
      </c>
      <c r="G8" s="7" t="inlineStr">
        <is>
          <t>Margin %</t>
        </is>
      </c>
      <c r="H8" s="7" t="inlineStr">
        <is>
          <t>Budget used %</t>
        </is>
      </c>
      <c r="J8" s="7" t="inlineStr">
        <is>
          <t>Cost by category</t>
        </is>
      </c>
      <c r="K8" s="7" t="inlineStr">
        <is>
          <t>Amount</t>
        </is>
      </c>
    </row>
    <row r="9">
      <c r="B9" s="8" t="str">
        <f>Jobs!A2&amp;" "&amp;Jobs!C2</f>
        <v>J-2601 Deck</v>
      </c>
      <c r="C9" s="8" t="str">
        <f>Jobs!E2</f>
        <v>Invoiced</v>
      </c>
      <c r="D9" s="9">
        <f>Jobs!F2</f>
        <v>11580</v>
      </c>
      <c r="E9" s="9">
        <f>Jobs!J2</f>
        <v>8888</v>
      </c>
      <c r="F9" s="9">
        <f>Jobs!N2</f>
        <v>8555</v>
      </c>
      <c r="G9" s="10">
        <f>Jobs!P2</f>
        <v>0.261226252158895</v>
      </c>
      <c r="H9" s="10">
        <f>Jobs!Q2</f>
        <v>0.962533753375338</v>
      </c>
      <c r="J9" t="inlineStr">
        <is>
          <t>Labour</t>
        </is>
      </c>
      <c r="K9" s="11">
        <f>SUM(Timesheet!F2:F2000)</f>
        <v>19458</v>
      </c>
    </row>
    <row r="10">
      <c r="B10" s="8" t="str">
        <f>Jobs!A3&amp;" "&amp;Jobs!C3</f>
        <v>J-2602 Pergola</v>
      </c>
      <c r="C10" s="8" t="str">
        <f>Jobs!E3</f>
        <v>Invoiced</v>
      </c>
      <c r="D10" s="9">
        <f>Jobs!F3</f>
        <v>7860</v>
      </c>
      <c r="E10" s="9">
        <f>Jobs!J3</f>
        <v>5580</v>
      </c>
      <c r="F10" s="9">
        <f>Jobs!N3</f>
        <v>5890</v>
      </c>
      <c r="G10" s="10">
        <f>Jobs!P3</f>
        <v>0.250636132315522</v>
      </c>
      <c r="H10" s="10">
        <f>Jobs!Q3</f>
        <v>1.05555555555556</v>
      </c>
      <c r="J10" t="inlineStr">
        <is>
          <t>Materials</t>
        </is>
      </c>
      <c r="K10" s="11">
        <f>SUMIFS(Costs!F2:F2000,Costs!C2:C2000,J10)</f>
        <v>39643.67</v>
      </c>
    </row>
    <row r="11">
      <c r="B11" s="8" t="str">
        <f>Jobs!A4&amp;" "&amp;Jobs!C4</f>
        <v>J-2603 Kitchen joinery</v>
      </c>
      <c r="C11" s="8" t="str">
        <f>Jobs!E4</f>
        <v>Complete</v>
      </c>
      <c r="D11" s="9">
        <f>Jobs!F4</f>
        <v>21610</v>
      </c>
      <c r="E11" s="9">
        <f>Jobs!J4</f>
        <v>15832</v>
      </c>
      <c r="F11" s="9">
        <f>Jobs!N4</f>
        <v>17749.5</v>
      </c>
      <c r="G11" s="10">
        <f>Jobs!P4</f>
        <v>0.178644146228598</v>
      </c>
      <c r="H11" s="10">
        <f>Jobs!Q4</f>
        <v>1.12111546235472</v>
      </c>
      <c r="J11" t="inlineStr">
        <is>
          <t>Subcontractor</t>
        </is>
      </c>
      <c r="K11" s="11">
        <f>SUMIFS(Costs!F2:F2000,Costs!C2:C2000,J11)</f>
        <v>2282.3</v>
      </c>
    </row>
    <row r="12">
      <c r="B12" s="8" t="str">
        <f>Jobs!A5&amp;" "&amp;Jobs!C5</f>
        <v>J-2604 Built-in wardrobes</v>
      </c>
      <c r="C12" s="8" t="str">
        <f>Jobs!E5</f>
        <v>Complete</v>
      </c>
      <c r="D12" s="9">
        <f>Jobs!F5</f>
        <v>8890</v>
      </c>
      <c r="E12" s="9">
        <f>Jobs!J5</f>
        <v>6316</v>
      </c>
      <c r="F12" s="9">
        <f>Jobs!N5</f>
        <v>5637.5</v>
      </c>
      <c r="G12" s="10">
        <f>Jobs!P5</f>
        <v>0.365860517435321</v>
      </c>
      <c r="H12" s="10">
        <f>Jobs!Q5</f>
        <v>0.892574414186194</v>
      </c>
      <c r="J12" t="inlineStr">
        <is>
          <t>Equipment hire</t>
        </is>
      </c>
      <c r="K12" s="11">
        <f>SUMIFS(Costs!F2:F2000,Costs!C2:C2000,J12)</f>
        <v>2726.84</v>
      </c>
    </row>
    <row r="13">
      <c r="B13" s="8" t="str">
        <f>Jobs!A6&amp;" "&amp;Jobs!C6</f>
        <v>J-2605 Fencing</v>
      </c>
      <c r="C13" s="8" t="str">
        <f>Jobs!E6</f>
        <v>Complete</v>
      </c>
      <c r="D13" s="9">
        <f>Jobs!F6</f>
        <v>5400</v>
      </c>
      <c r="E13" s="9">
        <f>Jobs!J6</f>
        <v>3860</v>
      </c>
      <c r="F13" s="9">
        <f>Jobs!N6</f>
        <v>3729</v>
      </c>
      <c r="G13" s="10">
        <f>Jobs!P6</f>
        <v>0.309444444444444</v>
      </c>
      <c r="H13" s="10">
        <f>Jobs!Q6</f>
        <v>0.966062176165803</v>
      </c>
      <c r="J13" t="inlineStr">
        <is>
          <t>Travel &amp; parking</t>
        </is>
      </c>
      <c r="K13" s="11">
        <f>SUMIFS(Costs!F2:F2000,Costs!C2:C2000,J13)</f>
        <v>1102.38</v>
      </c>
    </row>
    <row r="14">
      <c r="B14" s="8" t="str">
        <f>Jobs!A7&amp;" "&amp;Jobs!C7</f>
        <v>J-2606 Bathroom vanity</v>
      </c>
      <c r="C14" s="8" t="str">
        <f>Jobs!E7</f>
        <v>Complete</v>
      </c>
      <c r="D14" s="9">
        <f>Jobs!F7</f>
        <v>3610</v>
      </c>
      <c r="E14" s="9">
        <f>Jobs!J7</f>
        <v>2656</v>
      </c>
      <c r="F14" s="9">
        <f>Jobs!N7</f>
        <v>3090.5</v>
      </c>
      <c r="G14" s="10">
        <f>Jobs!P7</f>
        <v>0.143905817174515</v>
      </c>
      <c r="H14" s="10">
        <f>Jobs!Q7</f>
        <v>1.16359186746988</v>
      </c>
      <c r="J14" t="inlineStr">
        <is>
          <t>Waste removal</t>
        </is>
      </c>
      <c r="K14" s="11">
        <f>SUMIFS(Costs!F2:F2000,Costs!C2:C2000,J14)</f>
        <v>2462.31</v>
      </c>
    </row>
    <row r="15">
      <c r="B15" s="8" t="str">
        <f>Jobs!A8&amp;" "&amp;Jobs!C8</f>
        <v>J-2607 Repairs</v>
      </c>
      <c r="C15" s="8" t="str">
        <f>Jobs!E8</f>
        <v>Complete</v>
      </c>
      <c r="D15" s="9">
        <f>Jobs!F8</f>
        <v>1130</v>
      </c>
      <c r="E15" s="9">
        <f>Jobs!J8</f>
        <v>870</v>
      </c>
      <c r="F15" s="9">
        <f>Jobs!N8</f>
        <v>765.5</v>
      </c>
      <c r="G15" s="10">
        <f>Jobs!P8</f>
        <v>0.322566371681416</v>
      </c>
      <c r="H15" s="10">
        <f>Jobs!Q8</f>
        <v>0.879885057471264</v>
      </c>
    </row>
    <row r="16">
      <c r="B16" s="8" t="str">
        <f>Jobs!A9&amp;" "&amp;Jobs!C9</f>
        <v>J-2608 Deck</v>
      </c>
      <c r="C16" s="8" t="str">
        <f>Jobs!E9</f>
        <v>In progress</v>
      </c>
      <c r="D16" s="9">
        <f>Jobs!F9</f>
        <v>14300</v>
      </c>
      <c r="E16" s="9">
        <f>Jobs!J9</f>
        <v>10424</v>
      </c>
      <c r="F16" s="9">
        <f>Jobs!N9</f>
        <v>9393</v>
      </c>
      <c r="G16" s="10">
        <f>Jobs!P9</f>
        <v>0.343146853146853</v>
      </c>
      <c r="H16" s="10">
        <f>Jobs!Q9</f>
        <v>0.901093630084421</v>
      </c>
      <c r="J16" s="7" t="inlineStr">
        <is>
          <t>Hours by staff</t>
        </is>
      </c>
      <c r="K16" s="7" t="inlineStr">
        <is>
          <t>Hours</t>
        </is>
      </c>
    </row>
    <row r="17">
      <c r="B17" s="8" t="str">
        <f>Jobs!A10&amp;" "&amp;Jobs!C10</f>
        <v>J-2609 Built-in wardrobes</v>
      </c>
      <c r="C17" s="8" t="str">
        <f>Jobs!E10</f>
        <v>In progress</v>
      </c>
      <c r="D17" s="9">
        <f>Jobs!F10</f>
        <v>9670</v>
      </c>
      <c r="E17" s="9">
        <f>Jobs!J10</f>
        <v>6984</v>
      </c>
      <c r="F17" s="9">
        <f>Jobs!N10</f>
        <v>3912.5</v>
      </c>
      <c r="G17" s="10">
        <f>Jobs!P10</f>
        <v>0.595398138572906</v>
      </c>
      <c r="H17" s="10">
        <f>Jobs!Q10</f>
        <v>0.560209049255441</v>
      </c>
      <c r="J17" t="inlineStr">
        <is>
          <t>Sam R. (lead carpenter)</t>
        </is>
      </c>
      <c r="K17" s="12">
        <f>SUMIFS(Timesheet!D2:D2000,Timesheet!C2:C2000,J17)</f>
        <v>117</v>
      </c>
    </row>
    <row r="18">
      <c r="B18" s="8" t="str">
        <f>Jobs!A11&amp;" "&amp;Jobs!C11</f>
        <v>J-2610 Kitchen joinery</v>
      </c>
      <c r="C18" s="8" t="str">
        <f>Jobs!E11</f>
        <v>In progress</v>
      </c>
      <c r="D18" s="9">
        <f>Jobs!F11</f>
        <v>19520</v>
      </c>
      <c r="E18" s="9">
        <f>Jobs!J11</f>
        <v>13896</v>
      </c>
      <c r="F18" s="9">
        <f>Jobs!N11</f>
        <v>8953</v>
      </c>
      <c r="G18" s="10">
        <f>Jobs!P11</f>
        <v>0.541342213114754</v>
      </c>
      <c r="H18" s="10">
        <f>Jobs!Q11</f>
        <v>0.644286125503742</v>
      </c>
      <c r="J18" t="inlineStr">
        <is>
          <t>Ari K. (carpenter)</t>
        </is>
      </c>
      <c r="K18" s="12">
        <f>SUMIFS(Timesheet!D2:D2000,Timesheet!C2:C2000,J18)</f>
        <v>148.5</v>
      </c>
    </row>
    <row r="19">
      <c r="B19" s="8" t="str">
        <f>Jobs!A12&amp;" "&amp;Jobs!C12</f>
        <v>J-2611 Pergola</v>
      </c>
      <c r="C19" s="8" t="str">
        <f>Jobs!E12</f>
        <v>Booked</v>
      </c>
      <c r="D19" s="9">
        <f>Jobs!F12</f>
        <v>8110</v>
      </c>
      <c r="E19" s="9">
        <f>Jobs!J12</f>
        <v>5948</v>
      </c>
      <c r="F19" s="9">
        <f>Jobs!N12</f>
        <v>0</v>
      </c>
      <c r="G19" s="10">
        <f>Jobs!P12</f>
      </c>
      <c r="H19" s="10">
        <f>Jobs!Q12</f>
        <v>0</v>
      </c>
      <c r="J19" t="inlineStr">
        <is>
          <t>Jo P. (apprentice)</t>
        </is>
      </c>
      <c r="K19" s="12">
        <f>SUMIFS(Timesheet!D2:D2000,Timesheet!C2:C2000,J19)</f>
        <v>97</v>
      </c>
    </row>
    <row r="20">
      <c r="B20" s="8" t="str">
        <f>Jobs!A13&amp;" "&amp;Jobs!C13</f>
        <v>J-2612 Fencing</v>
      </c>
      <c r="C20" s="8" t="str">
        <f>Jobs!E13</f>
        <v>Quoted</v>
      </c>
      <c r="D20" s="9">
        <f>Jobs!F13</f>
        <v>5650</v>
      </c>
      <c r="E20" s="9">
        <f>Jobs!J13</f>
        <v>4328</v>
      </c>
      <c r="F20" s="9">
        <f>Jobs!N13</f>
        <v>0</v>
      </c>
      <c r="G20" s="10">
        <f>Jobs!P13</f>
      </c>
      <c r="H20" s="10">
        <f>Jobs!Q13</f>
        <v>0</v>
      </c>
      <c r="J20" t="inlineStr">
        <is>
          <t>Dev M. (labourer)</t>
        </is>
      </c>
      <c r="K20" s="12">
        <f>SUMIFS(Timesheet!D2:D2000,Timesheet!C2:C2000,J20)</f>
        <v>103.5</v>
      </c>
    </row>
    <row r="21">
      <c r="B21" s="13" t="inlineStr">
        <is>
          <t>Checks</t>
        </is>
      </c>
      <c r="C21" t="str">
        <f>Checks!C13</f>
        <v>8 of 8</v>
      </c>
    </row>
  </sheetData>
  <conditionalFormatting sqref="G6">
    <cfRule type="cellIs" priority="1" operator="greaterThan" dxfId="0">
      <formula>0</formula>
    </cfRule>
  </conditionalFormatting>
  <conditionalFormatting sqref="H6">
    <cfRule type="cellIs" priority="2" operator="greaterThan" dxfId="1">
      <formula>0</formula>
    </cfRule>
  </conditionalFormatting>
  <conditionalFormatting sqref="H9:H20">
    <cfRule type="dataBar" priority="3">
      <dataBar>
        <cfvo type="num" val="0"/>
        <cfvo type="num" val="1.3"/>
        <color rgb="005DADE2"/>
      </dataBar>
    </cfRule>
  </conditionalFormatting>
  <conditionalFormatting sqref="G9:G20">
    <cfRule type="expression" priority="4" dxfId="0">
      <formula>AND(ISNUMBER(G9),G9&lt;0.15)</formula>
    </cfRule>
    <cfRule type="expression" priority="5" dxfId="2">
      <formula>AND(ISNUMBER(G9),G9&gt;=0.25)</formula>
    </cfRule>
  </conditionalFormatting>
  <conditionalFormatting sqref="B9:H20">
    <cfRule type="expression" priority="6" dxfId="3">
      <formula>$H9&gt;1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355B"/>
    <outlinePr summaryBelow="1" summaryRight="1"/>
    <pageSetUpPr fitToPage="1"/>
  </sheetPr>
  <dimension ref="A1:T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8" customWidth="1" min="3" max="3"/>
    <col width="11" customWidth="1" min="4" max="4"/>
    <col width="12" customWidth="1" min="5" max="5"/>
    <col width="12" customWidth="1" min="6" max="6"/>
    <col width="10" customWidth="1" min="7" max="7"/>
    <col width="12" customWidth="1" min="8" max="8"/>
    <col width="13" customWidth="1" min="9" max="9"/>
    <col width="12" customWidth="1" min="10" max="10"/>
    <col width="9" customWidth="1" min="11" max="11"/>
    <col width="12" customWidth="1" min="12" max="12"/>
    <col width="13" customWidth="1" min="13" max="13"/>
    <col width="12" customWidth="1" min="14" max="14"/>
    <col width="12" customWidth="1" min="15" max="15"/>
    <col width="9" customWidth="1" min="16" max="16"/>
    <col width="11" customWidth="1" min="17" max="17"/>
    <col width="13" customWidth="1" min="18" max="18"/>
  </cols>
  <sheetData>
    <row r="1" ht="32" customHeight="1">
      <c r="A1" s="14" t="inlineStr">
        <is>
          <t>Job ID</t>
        </is>
      </c>
      <c r="B1" s="14" t="inlineStr">
        <is>
          <t>Client</t>
        </is>
      </c>
      <c r="C1" s="14" t="inlineStr">
        <is>
          <t>Job type</t>
        </is>
      </c>
      <c r="D1" s="14" t="inlineStr">
        <is>
          <t>Start date</t>
        </is>
      </c>
      <c r="E1" s="14" t="inlineStr">
        <is>
          <t>Status</t>
        </is>
      </c>
      <c r="F1" s="14" t="inlineStr">
        <is>
          <t>Quote (ex. extras)</t>
        </is>
      </c>
      <c r="G1" s="14" t="inlineStr">
        <is>
          <t>Budget labour hrs</t>
        </is>
      </c>
      <c r="H1" s="14" t="inlineStr">
        <is>
          <t>Budget labour cost</t>
        </is>
      </c>
      <c r="I1" s="14" t="inlineStr">
        <is>
          <t>Budget materials &amp; other</t>
        </is>
      </c>
      <c r="J1" s="14" t="inlineStr">
        <is>
          <t>Budget total cost</t>
        </is>
      </c>
      <c r="K1" s="14" t="inlineStr">
        <is>
          <t>Actual hrs</t>
        </is>
      </c>
      <c r="L1" s="14" t="inlineStr">
        <is>
          <t>Actual labour cost</t>
        </is>
      </c>
      <c r="M1" s="14" t="inlineStr">
        <is>
          <t>Actual materials &amp; other</t>
        </is>
      </c>
      <c r="N1" s="14" t="inlineStr">
        <is>
          <t>Actual total cost</t>
        </is>
      </c>
      <c r="O1" s="14" t="inlineStr">
        <is>
          <t>Gross profit</t>
        </is>
      </c>
      <c r="P1" s="14" t="inlineStr">
        <is>
          <t>Margin %</t>
        </is>
      </c>
      <c r="Q1" s="14" t="inlineStr">
        <is>
          <t>Budget used %</t>
        </is>
      </c>
      <c r="R1" s="14" t="inlineStr">
        <is>
          <t>Flag</t>
        </is>
      </c>
      <c r="T1" s="15" t="inlineStr">
        <is>
          <t>Yellow cells are inputs; everything else is calculated.</t>
        </is>
      </c>
    </row>
    <row r="2">
      <c r="A2" s="16" t="inlineStr">
        <is>
          <t>J-2601</t>
        </is>
      </c>
      <c r="B2" s="16" t="inlineStr">
        <is>
          <t>Larchmere household</t>
        </is>
      </c>
      <c r="C2" s="16" t="inlineStr">
        <is>
          <t>Deck</t>
        </is>
      </c>
      <c r="D2" s="17" t="n">
        <v>46209</v>
      </c>
      <c r="E2" s="16" t="inlineStr">
        <is>
          <t>Invoiced</t>
        </is>
      </c>
      <c r="F2" s="18" t="n">
        <v>11580</v>
      </c>
      <c r="G2" s="16" t="n">
        <v>64</v>
      </c>
      <c r="H2" s="11">
        <f>G2*Lists!$F$2</f>
        <v>2688</v>
      </c>
      <c r="I2" s="18" t="n">
        <v>6200</v>
      </c>
      <c r="J2" s="11">
        <f>H2+I2</f>
        <v>8888</v>
      </c>
      <c r="K2">
        <f>SUMIFS(Timesheet!$D:$D,Timesheet!$B:$B,A2)</f>
        <v>62.5</v>
      </c>
      <c r="L2" s="11">
        <f>SUMIFS(Timesheet!$F:$F,Timesheet!$B:$B,A2)</f>
        <v>2541</v>
      </c>
      <c r="M2" s="11">
        <f>SUMIFS(Costs!$F:$F,Costs!$B:$B,A2)</f>
        <v>6014</v>
      </c>
      <c r="N2" s="11">
        <f>L2+M2</f>
        <v>8555</v>
      </c>
      <c r="O2" s="11">
        <f>IF(N2=0,0,F2-N2)</f>
        <v>3025</v>
      </c>
      <c r="P2" s="19">
        <f>IF(N2=0,"",O2/F2)</f>
        <v>0.261226252158895</v>
      </c>
      <c r="Q2" s="19">
        <f>IF(J2=0,"",N2/J2)</f>
        <v>0.962533753375338</v>
      </c>
      <c r="R2" t="str">
        <f>IF(N2=0,"Not started",IF(N2&gt;J2,"Over budget",IF(AND(N2&gt;=0.9*J2,OR(E2="In progress",E2="Booked")),"At risk","On track")))</f>
        <v>On track</v>
      </c>
    </row>
    <row r="3">
      <c r="A3" s="16" t="inlineStr">
        <is>
          <t>J-2602</t>
        </is>
      </c>
      <c r="B3" s="16" t="inlineStr">
        <is>
          <t>Ottercombe Yoga</t>
        </is>
      </c>
      <c r="C3" s="16" t="inlineStr">
        <is>
          <t>Pergola</t>
        </is>
      </c>
      <c r="D3" s="17" t="n">
        <v>46216</v>
      </c>
      <c r="E3" s="16" t="inlineStr">
        <is>
          <t>Invoiced</t>
        </is>
      </c>
      <c r="F3" s="18" t="n">
        <v>7860</v>
      </c>
      <c r="G3" s="16" t="n">
        <v>40</v>
      </c>
      <c r="H3" s="11">
        <f>G3*Lists!$F$2</f>
        <v>1680</v>
      </c>
      <c r="I3" s="18" t="n">
        <v>3900</v>
      </c>
      <c r="J3" s="11">
        <f>H3+I3</f>
        <v>5580</v>
      </c>
      <c r="K3">
        <f>SUMIFS(Timesheet!$D:$D,Timesheet!$B:$B,A3)</f>
        <v>41</v>
      </c>
      <c r="L3" s="11">
        <f>SUMIFS(Timesheet!$F:$F,Timesheet!$B:$B,A3)</f>
        <v>1912</v>
      </c>
      <c r="M3" s="11">
        <f>SUMIFS(Costs!$F:$F,Costs!$B:$B,A3)</f>
        <v>3978</v>
      </c>
      <c r="N3" s="11">
        <f>L3+M3</f>
        <v>5890</v>
      </c>
      <c r="O3" s="11">
        <f>IF(N3=0,0,F3-N3)</f>
        <v>1970</v>
      </c>
      <c r="P3" s="19">
        <f>IF(N3=0,"",O3/F3)</f>
        <v>0.250636132315522</v>
      </c>
      <c r="Q3" s="19">
        <f>IF(J3=0,"",N3/J3)</f>
        <v>1.05555555555556</v>
      </c>
      <c r="R3" t="str">
        <f>IF(N3=0,"Not started",IF(N3&gt;J3,"Over budget",IF(AND(N3&gt;=0.9*J3,OR(E3="In progress",E3="Booked")),"At risk","On track")))</f>
        <v>Over budget</v>
      </c>
    </row>
    <row r="4">
      <c r="A4" s="16" t="inlineStr">
        <is>
          <t>J-2603</t>
        </is>
      </c>
      <c r="B4" s="16" t="inlineStr">
        <is>
          <t>Saltreed Barbers</t>
        </is>
      </c>
      <c r="C4" s="16" t="inlineStr">
        <is>
          <t>Kitchen joinery</t>
        </is>
      </c>
      <c r="D4" s="17" t="n">
        <v>46223</v>
      </c>
      <c r="E4" s="16" t="inlineStr">
        <is>
          <t>Complete</t>
        </is>
      </c>
      <c r="F4" s="18" t="n">
        <v>21610</v>
      </c>
      <c r="G4" s="16" t="n">
        <v>96</v>
      </c>
      <c r="H4" s="11">
        <f>G4*Lists!$F$2</f>
        <v>4032</v>
      </c>
      <c r="I4" s="18" t="n">
        <v>11800</v>
      </c>
      <c r="J4" s="11">
        <f>H4+I4</f>
        <v>15832</v>
      </c>
      <c r="K4">
        <f>SUMIFS(Timesheet!$D:$D,Timesheet!$B:$B,A4)</f>
        <v>109.5</v>
      </c>
      <c r="L4" s="11">
        <f>SUMIFS(Timesheet!$F:$F,Timesheet!$B:$B,A4)</f>
        <v>4297.5</v>
      </c>
      <c r="M4" s="11">
        <f>SUMIFS(Costs!$F:$F,Costs!$B:$B,A4)</f>
        <v>13452</v>
      </c>
      <c r="N4" s="11">
        <f>L4+M4</f>
        <v>17749.5</v>
      </c>
      <c r="O4" s="11">
        <f>IF(N4=0,0,F4-N4)</f>
        <v>3860.5</v>
      </c>
      <c r="P4" s="19">
        <f>IF(N4=0,"",O4/F4)</f>
        <v>0.178644146228598</v>
      </c>
      <c r="Q4" s="19">
        <f>IF(J4=0,"",N4/J4)</f>
        <v>1.12111546235472</v>
      </c>
      <c r="R4" t="str">
        <f>IF(N4=0,"Not started",IF(N4&gt;J4,"Over budget",IF(AND(N4&gt;=0.9*J4,OR(E4="In progress",E4="Booked")),"At risk","On track")))</f>
        <v>Over budget</v>
      </c>
    </row>
    <row r="5">
      <c r="A5" s="16" t="inlineStr">
        <is>
          <t>J-2604</t>
        </is>
      </c>
      <c r="B5" s="16" t="inlineStr">
        <is>
          <t>Fenwick Lane Books</t>
        </is>
      </c>
      <c r="C5" s="16" t="inlineStr">
        <is>
          <t>Built-in wardrobes</t>
        </is>
      </c>
      <c r="D5" s="17" t="n">
        <v>46230</v>
      </c>
      <c r="E5" s="16" t="inlineStr">
        <is>
          <t>Complete</t>
        </is>
      </c>
      <c r="F5" s="18" t="n">
        <v>8890</v>
      </c>
      <c r="G5" s="16" t="n">
        <v>48</v>
      </c>
      <c r="H5" s="11">
        <f>G5*Lists!$F$2</f>
        <v>2016</v>
      </c>
      <c r="I5" s="18" t="n">
        <v>4300</v>
      </c>
      <c r="J5" s="11">
        <f>H5+I5</f>
        <v>6316</v>
      </c>
      <c r="K5">
        <f>SUMIFS(Timesheet!$D:$D,Timesheet!$B:$B,A5)</f>
        <v>44</v>
      </c>
      <c r="L5" s="11">
        <f>SUMIFS(Timesheet!$F:$F,Timesheet!$B:$B,A5)</f>
        <v>1724.5</v>
      </c>
      <c r="M5" s="11">
        <f>SUMIFS(Costs!$F:$F,Costs!$B:$B,A5)</f>
        <v>3913</v>
      </c>
      <c r="N5" s="11">
        <f>L5+M5</f>
        <v>5637.5</v>
      </c>
      <c r="O5" s="11">
        <f>IF(N5=0,0,F5-N5)</f>
        <v>3252.5</v>
      </c>
      <c r="P5" s="19">
        <f>IF(N5=0,"",O5/F5)</f>
        <v>0.365860517435321</v>
      </c>
      <c r="Q5" s="19">
        <f>IF(J5=0,"",N5/J5)</f>
        <v>0.892574414186194</v>
      </c>
      <c r="R5" t="str">
        <f>IF(N5=0,"Not started",IF(N5&gt;J5,"Over budget",IF(AND(N5&gt;=0.9*J5,OR(E5="In progress",E5="Booked")),"At risk","On track")))</f>
        <v>On track</v>
      </c>
    </row>
    <row r="6">
      <c r="A6" s="16" t="inlineStr">
        <is>
          <t>J-2605</t>
        </is>
      </c>
      <c r="B6" s="16" t="inlineStr">
        <is>
          <t>Sample Café</t>
        </is>
      </c>
      <c r="C6" s="16" t="inlineStr">
        <is>
          <t>Fencing</t>
        </is>
      </c>
      <c r="D6" s="17" t="n">
        <v>46237</v>
      </c>
      <c r="E6" s="16" t="inlineStr">
        <is>
          <t>Complete</t>
        </is>
      </c>
      <c r="F6" s="18" t="n">
        <v>5400</v>
      </c>
      <c r="G6" s="16" t="n">
        <v>30</v>
      </c>
      <c r="H6" s="11">
        <f>G6*Lists!$F$2</f>
        <v>1260</v>
      </c>
      <c r="I6" s="18" t="n">
        <v>2600</v>
      </c>
      <c r="J6" s="11">
        <f>H6+I6</f>
        <v>3860</v>
      </c>
      <c r="K6">
        <f>SUMIFS(Timesheet!$D:$D,Timesheet!$B:$B,A6)</f>
        <v>26.5</v>
      </c>
      <c r="L6" s="11">
        <f>SUMIFS(Timesheet!$F:$F,Timesheet!$B:$B,A6)</f>
        <v>1441</v>
      </c>
      <c r="M6" s="11">
        <f>SUMIFS(Costs!$F:$F,Costs!$B:$B,A6)</f>
        <v>2288</v>
      </c>
      <c r="N6" s="11">
        <f>L6+M6</f>
        <v>3729</v>
      </c>
      <c r="O6" s="11">
        <f>IF(N6=0,0,F6-N6)</f>
        <v>1671</v>
      </c>
      <c r="P6" s="19">
        <f>IF(N6=0,"",O6/F6)</f>
        <v>0.309444444444444</v>
      </c>
      <c r="Q6" s="19">
        <f>IF(J6=0,"",N6/J6)</f>
        <v>0.966062176165803</v>
      </c>
      <c r="R6" t="str">
        <f>IF(N6=0,"Not started",IF(N6&gt;J6,"Over budget",IF(AND(N6&gt;=0.9*J6,OR(E6="In progress",E6="Booked")),"At risk","On track")))</f>
        <v>On track</v>
      </c>
    </row>
    <row r="7">
      <c r="A7" s="16" t="inlineStr">
        <is>
          <t>J-2606</t>
        </is>
      </c>
      <c r="B7" s="16" t="inlineStr">
        <is>
          <t>Duskwater Gallery</t>
        </is>
      </c>
      <c r="C7" s="16" t="inlineStr">
        <is>
          <t>Bathroom vanity</t>
        </is>
      </c>
      <c r="D7" s="17" t="n">
        <v>46244</v>
      </c>
      <c r="E7" s="16" t="inlineStr">
        <is>
          <t>Complete</t>
        </is>
      </c>
      <c r="F7" s="18" t="n">
        <v>3610</v>
      </c>
      <c r="G7" s="16" t="n">
        <v>18</v>
      </c>
      <c r="H7" s="11">
        <f>G7*Lists!$F$2</f>
        <v>756</v>
      </c>
      <c r="I7" s="18" t="n">
        <v>1900</v>
      </c>
      <c r="J7" s="11">
        <f>H7+I7</f>
        <v>2656</v>
      </c>
      <c r="K7">
        <f>SUMIFS(Timesheet!$D:$D,Timesheet!$B:$B,A7)</f>
        <v>22</v>
      </c>
      <c r="L7" s="11">
        <f>SUMIFS(Timesheet!$F:$F,Timesheet!$B:$B,A7)</f>
        <v>791.5</v>
      </c>
      <c r="M7" s="11">
        <f>SUMIFS(Costs!$F:$F,Costs!$B:$B,A7)</f>
        <v>2299</v>
      </c>
      <c r="N7" s="11">
        <f>L7+M7</f>
        <v>3090.5</v>
      </c>
      <c r="O7" s="11">
        <f>IF(N7=0,0,F7-N7)</f>
        <v>519.5</v>
      </c>
      <c r="P7" s="19">
        <f>IF(N7=0,"",O7/F7)</f>
        <v>0.143905817174515</v>
      </c>
      <c r="Q7" s="19">
        <f>IF(J7=0,"",N7/J7)</f>
        <v>1.16359186746988</v>
      </c>
      <c r="R7" t="str">
        <f>IF(N7=0,"Not started",IF(N7&gt;J7,"Over budget",IF(AND(N7&gt;=0.9*J7,OR(E7="In progress",E7="Booked")),"At risk","On track")))</f>
        <v>Over budget</v>
      </c>
    </row>
    <row r="8">
      <c r="A8" s="16" t="inlineStr">
        <is>
          <t>J-2607</t>
        </is>
      </c>
      <c r="B8" s="16" t="inlineStr">
        <is>
          <t>Brackwhistle Kitchen</t>
        </is>
      </c>
      <c r="C8" s="16" t="inlineStr">
        <is>
          <t>Repairs</t>
        </is>
      </c>
      <c r="D8" s="17" t="n">
        <v>46251</v>
      </c>
      <c r="E8" s="16" t="inlineStr">
        <is>
          <t>Complete</t>
        </is>
      </c>
      <c r="F8" s="18" t="n">
        <v>1130</v>
      </c>
      <c r="G8" s="16" t="n">
        <v>10</v>
      </c>
      <c r="H8" s="11">
        <f>G8*Lists!$F$2</f>
        <v>420</v>
      </c>
      <c r="I8" s="18" t="n">
        <v>450</v>
      </c>
      <c r="J8" s="11">
        <f>H8+I8</f>
        <v>870</v>
      </c>
      <c r="K8">
        <f>SUMIFS(Timesheet!$D:$D,Timesheet!$B:$B,A8)</f>
        <v>9.5</v>
      </c>
      <c r="L8" s="11">
        <f>SUMIFS(Timesheet!$F:$F,Timesheet!$B:$B,A8)</f>
        <v>338</v>
      </c>
      <c r="M8" s="11">
        <f>SUMIFS(Costs!$F:$F,Costs!$B:$B,A8)</f>
        <v>427.5</v>
      </c>
      <c r="N8" s="11">
        <f>L8+M8</f>
        <v>765.5</v>
      </c>
      <c r="O8" s="11">
        <f>IF(N8=0,0,F8-N8)</f>
        <v>364.5</v>
      </c>
      <c r="P8" s="19">
        <f>IF(N8=0,"",O8/F8)</f>
        <v>0.322566371681416</v>
      </c>
      <c r="Q8" s="19">
        <f>IF(J8=0,"",N8/J8)</f>
        <v>0.879885057471264</v>
      </c>
      <c r="R8" t="str">
        <f>IF(N8=0,"Not started",IF(N8&gt;J8,"Over budget",IF(AND(N8&gt;=0.9*J8,OR(E8="In progress",E8="Booked")),"At risk","On track")))</f>
        <v>On track</v>
      </c>
    </row>
    <row r="9">
      <c r="A9" s="16" t="inlineStr">
        <is>
          <t>J-2608</t>
        </is>
      </c>
      <c r="B9" s="16" t="inlineStr">
        <is>
          <t>Quellbrook Physio</t>
        </is>
      </c>
      <c r="C9" s="16" t="inlineStr">
        <is>
          <t>Deck</t>
        </is>
      </c>
      <c r="D9" s="17" t="n">
        <v>46258</v>
      </c>
      <c r="E9" s="16" t="inlineStr">
        <is>
          <t>In progress</t>
        </is>
      </c>
      <c r="F9" s="18" t="n">
        <v>14300</v>
      </c>
      <c r="G9" s="16" t="n">
        <v>72</v>
      </c>
      <c r="H9" s="11">
        <f>G9*Lists!$F$2</f>
        <v>3024</v>
      </c>
      <c r="I9" s="18" t="n">
        <v>7400</v>
      </c>
      <c r="J9" s="11">
        <f>H9+I9</f>
        <v>10424</v>
      </c>
      <c r="K9">
        <f>SUMIFS(Timesheet!$D:$D,Timesheet!$B:$B,A9)</f>
        <v>67</v>
      </c>
      <c r="L9" s="11">
        <f>SUMIFS(Timesheet!$F:$F,Timesheet!$B:$B,A9)</f>
        <v>2511</v>
      </c>
      <c r="M9" s="11">
        <f>SUMIFS(Costs!$F:$F,Costs!$B:$B,A9)</f>
        <v>6882</v>
      </c>
      <c r="N9" s="11">
        <f>L9+M9</f>
        <v>9393</v>
      </c>
      <c r="O9" s="11">
        <f>IF(N9=0,0,F9-N9)</f>
        <v>4907</v>
      </c>
      <c r="P9" s="19">
        <f>IF(N9=0,"",O9/F9)</f>
        <v>0.343146853146853</v>
      </c>
      <c r="Q9" s="19">
        <f>IF(J9=0,"",N9/J9)</f>
        <v>0.901093630084421</v>
      </c>
      <c r="R9" t="str">
        <f>IF(N9=0,"Not started",IF(N9&gt;J9,"Over budget",IF(AND(N9&gt;=0.9*J9,OR(E9="In progress",E9="Booked")),"At risk","On track")))</f>
        <v>At risk</v>
      </c>
    </row>
    <row r="10">
      <c r="A10" s="16" t="inlineStr">
        <is>
          <t>J-2609</t>
        </is>
      </c>
      <c r="B10" s="16" t="inlineStr">
        <is>
          <t>Pellicott household</t>
        </is>
      </c>
      <c r="C10" s="16" t="inlineStr">
        <is>
          <t>Built-in wardrobes</t>
        </is>
      </c>
      <c r="D10" s="17" t="n">
        <v>46265</v>
      </c>
      <c r="E10" s="16" t="inlineStr">
        <is>
          <t>In progress</t>
        </is>
      </c>
      <c r="F10" s="18" t="n">
        <v>9670</v>
      </c>
      <c r="G10" s="16" t="n">
        <v>52</v>
      </c>
      <c r="H10" s="11">
        <f>G10*Lists!$F$2</f>
        <v>2184</v>
      </c>
      <c r="I10" s="18" t="n">
        <v>4800</v>
      </c>
      <c r="J10" s="11">
        <f>H10+I10</f>
        <v>6984</v>
      </c>
      <c r="K10">
        <f>SUMIFS(Timesheet!$D:$D,Timesheet!$B:$B,A10)</f>
        <v>29</v>
      </c>
      <c r="L10" s="11">
        <f>SUMIFS(Timesheet!$F:$F,Timesheet!$B:$B,A10)</f>
        <v>1272.5</v>
      </c>
      <c r="M10" s="11">
        <f>SUMIFS(Costs!$F:$F,Costs!$B:$B,A10)</f>
        <v>2640</v>
      </c>
      <c r="N10" s="11">
        <f>L10+M10</f>
        <v>3912.5</v>
      </c>
      <c r="O10" s="11">
        <f>IF(N10=0,0,F10-N10)</f>
        <v>5757.5</v>
      </c>
      <c r="P10" s="19">
        <f>IF(N10=0,"",O10/F10)</f>
        <v>0.595398138572906</v>
      </c>
      <c r="Q10" s="19">
        <f>IF(J10=0,"",N10/J10)</f>
        <v>0.560209049255441</v>
      </c>
      <c r="R10" t="str">
        <f>IF(N10=0,"Not started",IF(N10&gt;J10,"Over budget",IF(AND(N10&gt;=0.9*J10,OR(E10="In progress",E10="Booked")),"At risk","On track")))</f>
        <v>On track</v>
      </c>
    </row>
    <row r="11">
      <c r="A11" s="16" t="inlineStr">
        <is>
          <t>J-2610</t>
        </is>
      </c>
      <c r="B11" s="16" t="inlineStr">
        <is>
          <t>Corrowind household</t>
        </is>
      </c>
      <c r="C11" s="16" t="inlineStr">
        <is>
          <t>Kitchen joinery</t>
        </is>
      </c>
      <c r="D11" s="17" t="n">
        <v>46272</v>
      </c>
      <c r="E11" s="16" t="inlineStr">
        <is>
          <t>In progress</t>
        </is>
      </c>
      <c r="F11" s="18" t="n">
        <v>19520</v>
      </c>
      <c r="G11" s="16" t="n">
        <v>88</v>
      </c>
      <c r="H11" s="11">
        <f>G11*Lists!$F$2</f>
        <v>3696</v>
      </c>
      <c r="I11" s="18" t="n">
        <v>10200</v>
      </c>
      <c r="J11" s="11">
        <f>H11+I11</f>
        <v>13896</v>
      </c>
      <c r="K11">
        <f>SUMIFS(Timesheet!$D:$D,Timesheet!$B:$B,A11)</f>
        <v>55</v>
      </c>
      <c r="L11" s="11">
        <f>SUMIFS(Timesheet!$F:$F,Timesheet!$B:$B,A11)</f>
        <v>2629</v>
      </c>
      <c r="M11" s="11">
        <f>SUMIFS(Costs!$F:$F,Costs!$B:$B,A11)</f>
        <v>6324</v>
      </c>
      <c r="N11" s="11">
        <f>L11+M11</f>
        <v>8953</v>
      </c>
      <c r="O11" s="11">
        <f>IF(N11=0,0,F11-N11)</f>
        <v>10567</v>
      </c>
      <c r="P11" s="19">
        <f>IF(N11=0,"",O11/F11)</f>
        <v>0.541342213114754</v>
      </c>
      <c r="Q11" s="19">
        <f>IF(J11=0,"",N11/J11)</f>
        <v>0.644286125503742</v>
      </c>
      <c r="R11" t="str">
        <f>IF(N11=0,"Not started",IF(N11&gt;J11,"Over budget",IF(AND(N11&gt;=0.9*J11,OR(E11="In progress",E11="Booked")),"At risk","On track")))</f>
        <v>On track</v>
      </c>
    </row>
    <row r="12">
      <c r="A12" s="16" t="inlineStr">
        <is>
          <t>J-2611</t>
        </is>
      </c>
      <c r="B12" s="16" t="inlineStr">
        <is>
          <t>Wrenfeather Studio</t>
        </is>
      </c>
      <c r="C12" s="16" t="inlineStr">
        <is>
          <t>Pergola</t>
        </is>
      </c>
      <c r="D12" s="17" t="n">
        <v>46279</v>
      </c>
      <c r="E12" s="16" t="inlineStr">
        <is>
          <t>Booked</t>
        </is>
      </c>
      <c r="F12" s="18" t="n">
        <v>8110</v>
      </c>
      <c r="G12" s="16" t="n">
        <v>44</v>
      </c>
      <c r="H12" s="11">
        <f>G12*Lists!$F$2</f>
        <v>1848</v>
      </c>
      <c r="I12" s="18" t="n">
        <v>4100</v>
      </c>
      <c r="J12" s="11">
        <f>H12+I12</f>
        <v>5948</v>
      </c>
      <c r="K12">
        <f>SUMIFS(Timesheet!$D:$D,Timesheet!$B:$B,A12)</f>
        <v>0</v>
      </c>
      <c r="L12" s="11">
        <f>SUMIFS(Timesheet!$F:$F,Timesheet!$B:$B,A12)</f>
        <v>0</v>
      </c>
      <c r="M12" s="11">
        <f>SUMIFS(Costs!$F:$F,Costs!$B:$B,A12)</f>
        <v>0</v>
      </c>
      <c r="N12" s="11">
        <f>L12+M12</f>
        <v>0</v>
      </c>
      <c r="O12" s="11">
        <f>IF(N12=0,0,F12-N12)</f>
        <v>0</v>
      </c>
      <c r="P12" s="19">
        <f>IF(N12=0,"",O12/F12)</f>
      </c>
      <c r="Q12" s="19">
        <f>IF(J12=0,"",N12/J12)</f>
        <v>0</v>
      </c>
      <c r="R12" t="str">
        <f>IF(N12=0,"Not started",IF(N12&gt;J12,"Over budget",IF(AND(N12&gt;=0.9*J12,OR(E12="In progress",E12="Booked")),"At risk","On track")))</f>
        <v>Not started</v>
      </c>
    </row>
    <row r="13">
      <c r="A13" s="16" t="inlineStr">
        <is>
          <t>J-2612</t>
        </is>
      </c>
      <c r="B13" s="16" t="inlineStr">
        <is>
          <t>Marrowbine Bakes</t>
        </is>
      </c>
      <c r="C13" s="16" t="inlineStr">
        <is>
          <t>Fencing</t>
        </is>
      </c>
      <c r="D13" s="17" t="n">
        <v>46286</v>
      </c>
      <c r="E13" s="16" t="inlineStr">
        <is>
          <t>Quoted</t>
        </is>
      </c>
      <c r="F13" s="18" t="n">
        <v>5650</v>
      </c>
      <c r="G13" s="16" t="n">
        <v>34</v>
      </c>
      <c r="H13" s="11">
        <f>G13*Lists!$F$2</f>
        <v>1428</v>
      </c>
      <c r="I13" s="18" t="n">
        <v>2900</v>
      </c>
      <c r="J13" s="11">
        <f>H13+I13</f>
        <v>4328</v>
      </c>
      <c r="K13">
        <f>SUMIFS(Timesheet!$D:$D,Timesheet!$B:$B,A13)</f>
        <v>0</v>
      </c>
      <c r="L13" s="11">
        <f>SUMIFS(Timesheet!$F:$F,Timesheet!$B:$B,A13)</f>
        <v>0</v>
      </c>
      <c r="M13" s="11">
        <f>SUMIFS(Costs!$F:$F,Costs!$B:$B,A13)</f>
        <v>0</v>
      </c>
      <c r="N13" s="11">
        <f>L13+M13</f>
        <v>0</v>
      </c>
      <c r="O13" s="11">
        <f>IF(N13=0,0,F13-N13)</f>
        <v>0</v>
      </c>
      <c r="P13" s="19">
        <f>IF(N13=0,"",O13/F13)</f>
      </c>
      <c r="Q13" s="19">
        <f>IF(J13=0,"",N13/J13)</f>
        <v>0</v>
      </c>
      <c r="R13" t="str">
        <f>IF(N13=0,"Not started",IF(N13&gt;J13,"Over budget",IF(AND(N13&gt;=0.9*J13,OR(E13="In progress",E13="Booked")),"At risk","On track")))</f>
        <v>Not started</v>
      </c>
    </row>
  </sheetData>
  <conditionalFormatting sqref="Q2:Q13">
    <cfRule type="dataBar" priority="1">
      <dataBar>
        <cfvo type="num" val="0"/>
        <cfvo type="num" val="1.3"/>
        <color rgb="005DADE2"/>
      </dataBar>
    </cfRule>
  </conditionalFormatting>
  <conditionalFormatting sqref="R2:R13">
    <cfRule type="cellIs" priority="2" operator="equal" dxfId="4">
      <formula>"Over budget"</formula>
    </cfRule>
    <cfRule type="cellIs" priority="3" operator="equal" dxfId="5">
      <formula>"At risk"</formula>
    </cfRule>
    <cfRule type="cellIs" priority="4" operator="equal" dxfId="2">
      <formula>"On track"</formula>
    </cfRule>
  </conditionalFormatting>
  <conditionalFormatting sqref="P2:P13">
    <cfRule type="expression" priority="5" dxfId="0">
      <formula>AND(ISNUMBER(P2),P2&lt;0.15)</formula>
    </cfRule>
    <cfRule type="expression" priority="6" dxfId="2">
      <formula>AND(ISNUMBER(P2),P2&gt;=0.25)</formula>
    </cfRule>
  </conditionalFormatting>
  <dataValidations count="2">
    <dataValidation sqref="E2:E500" showDropDown="0" showInputMessage="0" showErrorMessage="1" allowBlank="1" errorTitle="Pick from the list" error="Please choose a value from the drop-down." type="list">
      <formula1>=Lists!$A$2:$A$6</formula1>
    </dataValidation>
    <dataValidation sqref="C2:C500" showDropDown="0" showInputMessage="0" showErrorMessage="1" allowBlank="1" errorTitle="Pick from the list" error="Please choose a value from the drop-down." type="list">
      <formula1>=Lists!$E$2:$E$8</formula1>
    </dataValidation>
  </dataValidations>
  <pageMargins left="0.75" right="0.75" top="1" bottom="1" header="0.5" footer="0.5"/>
  <pageSetup orientation="landscape" fitToHeight="1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26" customWidth="1" min="3" max="3"/>
    <col width="8" customWidth="1" min="4" max="4"/>
    <col width="12" customWidth="1" min="5" max="5"/>
    <col width="12" customWidth="1" min="6" max="6"/>
  </cols>
  <sheetData>
    <row r="1" ht="32" customHeight="1">
      <c r="A1" s="14" t="inlineStr">
        <is>
          <t>Date</t>
        </is>
      </c>
      <c r="B1" s="14" t="inlineStr">
        <is>
          <t>Job ID</t>
        </is>
      </c>
      <c r="C1" s="14" t="inlineStr">
        <is>
          <t>Staff</t>
        </is>
      </c>
      <c r="D1" s="14" t="inlineStr">
        <is>
          <t>Hours</t>
        </is>
      </c>
      <c r="E1" s="14" t="inlineStr">
        <is>
          <t>Cost rate /hr</t>
        </is>
      </c>
      <c r="F1" s="14" t="inlineStr">
        <is>
          <t>Labour cost</t>
        </is>
      </c>
    </row>
    <row r="2">
      <c r="A2" s="20" t="n">
        <v>46209</v>
      </c>
      <c r="B2" t="inlineStr">
        <is>
          <t>J-2601</t>
        </is>
      </c>
      <c r="C2" t="inlineStr">
        <is>
          <t>Jo P. (apprentice)</t>
        </is>
      </c>
      <c r="D2" t="n">
        <v>7.5</v>
      </c>
      <c r="E2" s="21">
        <f>IFERROR(VLOOKUP(C2,Lists!$C$2:$D$10,2,FALSE),0)</f>
        <v>27</v>
      </c>
      <c r="F2" s="21">
        <f>D2*E2</f>
        <v>202.5</v>
      </c>
    </row>
    <row r="3">
      <c r="A3" s="20" t="n">
        <v>46210</v>
      </c>
      <c r="B3" t="inlineStr">
        <is>
          <t>J-2601</t>
        </is>
      </c>
      <c r="C3" t="inlineStr">
        <is>
          <t>Ari K. (carpenter)</t>
        </is>
      </c>
      <c r="D3" t="n">
        <v>8</v>
      </c>
      <c r="E3" s="21">
        <f>IFERROR(VLOOKUP(C3,Lists!$C$2:$D$10,2,FALSE),0)</f>
        <v>44</v>
      </c>
      <c r="F3" s="21">
        <f>D3*E3</f>
        <v>352</v>
      </c>
    </row>
    <row r="4">
      <c r="A4" s="20" t="n">
        <v>46211</v>
      </c>
      <c r="B4" t="inlineStr">
        <is>
          <t>J-2601</t>
        </is>
      </c>
      <c r="C4" t="inlineStr">
        <is>
          <t>Dev M. (labourer)</t>
        </is>
      </c>
      <c r="D4" t="n">
        <v>4</v>
      </c>
      <c r="E4" s="21">
        <f>IFERROR(VLOOKUP(C4,Lists!$C$2:$D$10,2,FALSE),0)</f>
        <v>34</v>
      </c>
      <c r="F4" s="21">
        <f>D4*E4</f>
        <v>136</v>
      </c>
    </row>
    <row r="5">
      <c r="A5" s="20" t="n">
        <v>46212</v>
      </c>
      <c r="B5" t="inlineStr">
        <is>
          <t>J-2601</t>
        </is>
      </c>
      <c r="C5" t="inlineStr">
        <is>
          <t>Jo P. (apprentice)</t>
        </is>
      </c>
      <c r="D5" t="n">
        <v>4</v>
      </c>
      <c r="E5" s="21">
        <f>IFERROR(VLOOKUP(C5,Lists!$C$2:$D$10,2,FALSE),0)</f>
        <v>27</v>
      </c>
      <c r="F5" s="21">
        <f>D5*E5</f>
        <v>108</v>
      </c>
    </row>
    <row r="6">
      <c r="A6" s="20" t="n">
        <v>46213</v>
      </c>
      <c r="B6" t="inlineStr">
        <is>
          <t>J-2601</t>
        </is>
      </c>
      <c r="C6" t="inlineStr">
        <is>
          <t>Dev M. (labourer)</t>
        </is>
      </c>
      <c r="D6" t="n">
        <v>7.5</v>
      </c>
      <c r="E6" s="21">
        <f>IFERROR(VLOOKUP(C6,Lists!$C$2:$D$10,2,FALSE),0)</f>
        <v>34</v>
      </c>
      <c r="F6" s="21">
        <f>D6*E6</f>
        <v>255</v>
      </c>
    </row>
    <row r="7">
      <c r="A7" s="20" t="n">
        <v>46216</v>
      </c>
      <c r="B7" t="inlineStr">
        <is>
          <t>J-2601</t>
        </is>
      </c>
      <c r="C7" t="inlineStr">
        <is>
          <t>Ari K. (carpenter)</t>
        </is>
      </c>
      <c r="D7" t="n">
        <v>8</v>
      </c>
      <c r="E7" s="21">
        <f>IFERROR(VLOOKUP(C7,Lists!$C$2:$D$10,2,FALSE),0)</f>
        <v>44</v>
      </c>
      <c r="F7" s="21">
        <f>D7*E7</f>
        <v>352</v>
      </c>
    </row>
    <row r="8">
      <c r="A8" s="20" t="n">
        <v>46216</v>
      </c>
      <c r="B8" t="inlineStr">
        <is>
          <t>J-2602</t>
        </is>
      </c>
      <c r="C8" t="inlineStr">
        <is>
          <t>Ari K. (carpenter)</t>
        </is>
      </c>
      <c r="D8" t="n">
        <v>4</v>
      </c>
      <c r="E8" s="21">
        <f>IFERROR(VLOOKUP(C8,Lists!$C$2:$D$10,2,FALSE),0)</f>
        <v>44</v>
      </c>
      <c r="F8" s="21">
        <f>D8*E8</f>
        <v>176</v>
      </c>
    </row>
    <row r="9">
      <c r="A9" s="20" t="n">
        <v>46217</v>
      </c>
      <c r="B9" t="inlineStr">
        <is>
          <t>J-2601</t>
        </is>
      </c>
      <c r="C9" t="inlineStr">
        <is>
          <t>Ari K. (carpenter)</t>
        </is>
      </c>
      <c r="D9" t="n">
        <v>8</v>
      </c>
      <c r="E9" s="21">
        <f>IFERROR(VLOOKUP(C9,Lists!$C$2:$D$10,2,FALSE),0)</f>
        <v>44</v>
      </c>
      <c r="F9" s="21">
        <f>D9*E9</f>
        <v>352</v>
      </c>
    </row>
    <row r="10">
      <c r="A10" s="20" t="n">
        <v>46217</v>
      </c>
      <c r="B10" t="inlineStr">
        <is>
          <t>J-2602</t>
        </is>
      </c>
      <c r="C10" t="inlineStr">
        <is>
          <t>Sam R. (lead carpenter)</t>
        </is>
      </c>
      <c r="D10" t="n">
        <v>6</v>
      </c>
      <c r="E10" s="21">
        <f>IFERROR(VLOOKUP(C10,Lists!$C$2:$D$10,2,FALSE),0)</f>
        <v>58</v>
      </c>
      <c r="F10" s="21">
        <f>D10*E10</f>
        <v>348</v>
      </c>
    </row>
    <row r="11">
      <c r="A11" s="20" t="n">
        <v>46218</v>
      </c>
      <c r="B11" t="inlineStr">
        <is>
          <t>J-2601</t>
        </is>
      </c>
      <c r="C11" t="inlineStr">
        <is>
          <t>Sam R. (lead carpenter)</t>
        </is>
      </c>
      <c r="D11" t="n">
        <v>4</v>
      </c>
      <c r="E11" s="21">
        <f>IFERROR(VLOOKUP(C11,Lists!$C$2:$D$10,2,FALSE),0)</f>
        <v>58</v>
      </c>
      <c r="F11" s="21">
        <f>D11*E11</f>
        <v>232</v>
      </c>
    </row>
    <row r="12">
      <c r="A12" s="20" t="n">
        <v>46218</v>
      </c>
      <c r="B12" t="inlineStr">
        <is>
          <t>J-2602</t>
        </is>
      </c>
      <c r="C12" t="inlineStr">
        <is>
          <t>Ari K. (carpenter)</t>
        </is>
      </c>
      <c r="D12" t="n">
        <v>4</v>
      </c>
      <c r="E12" s="21">
        <f>IFERROR(VLOOKUP(C12,Lists!$C$2:$D$10,2,FALSE),0)</f>
        <v>44</v>
      </c>
      <c r="F12" s="21">
        <f>D12*E12</f>
        <v>176</v>
      </c>
    </row>
    <row r="13">
      <c r="A13" s="20" t="n">
        <v>46219</v>
      </c>
      <c r="B13" t="inlineStr">
        <is>
          <t>J-2601</t>
        </is>
      </c>
      <c r="C13" t="inlineStr">
        <is>
          <t>Sam R. (lead carpenter)</t>
        </is>
      </c>
      <c r="D13" t="n">
        <v>7.5</v>
      </c>
      <c r="E13" s="21">
        <f>IFERROR(VLOOKUP(C13,Lists!$C$2:$D$10,2,FALSE),0)</f>
        <v>58</v>
      </c>
      <c r="F13" s="21">
        <f>D13*E13</f>
        <v>435</v>
      </c>
    </row>
    <row r="14">
      <c r="A14" s="20" t="n">
        <v>46219</v>
      </c>
      <c r="B14" t="inlineStr">
        <is>
          <t>J-2602</t>
        </is>
      </c>
      <c r="C14" t="inlineStr">
        <is>
          <t>Sam R. (lead carpenter)</t>
        </is>
      </c>
      <c r="D14" t="n">
        <v>6</v>
      </c>
      <c r="E14" s="21">
        <f>IFERROR(VLOOKUP(C14,Lists!$C$2:$D$10,2,FALSE),0)</f>
        <v>58</v>
      </c>
      <c r="F14" s="21">
        <f>D14*E14</f>
        <v>348</v>
      </c>
    </row>
    <row r="15">
      <c r="A15" s="20" t="n">
        <v>46220</v>
      </c>
      <c r="B15" t="inlineStr">
        <is>
          <t>J-2601</t>
        </is>
      </c>
      <c r="C15" t="inlineStr">
        <is>
          <t>Jo P. (apprentice)</t>
        </is>
      </c>
      <c r="D15" t="n">
        <v>3.5</v>
      </c>
      <c r="E15" s="21">
        <f>IFERROR(VLOOKUP(C15,Lists!$C$2:$D$10,2,FALSE),0)</f>
        <v>27</v>
      </c>
      <c r="F15" s="21">
        <f>D15*E15</f>
        <v>94.5</v>
      </c>
    </row>
    <row r="16">
      <c r="A16" s="20" t="n">
        <v>46220</v>
      </c>
      <c r="B16" t="inlineStr">
        <is>
          <t>J-2602</t>
        </is>
      </c>
      <c r="C16" t="inlineStr">
        <is>
          <t>Ari K. (carpenter)</t>
        </is>
      </c>
      <c r="D16" t="n">
        <v>6</v>
      </c>
      <c r="E16" s="21">
        <f>IFERROR(VLOOKUP(C16,Lists!$C$2:$D$10,2,FALSE),0)</f>
        <v>44</v>
      </c>
      <c r="F16" s="21">
        <f>D16*E16</f>
        <v>264</v>
      </c>
    </row>
    <row r="17">
      <c r="A17" s="20" t="n">
        <v>46223</v>
      </c>
      <c r="B17" t="inlineStr">
        <is>
          <t>J-2601</t>
        </is>
      </c>
      <c r="C17" t="inlineStr">
        <is>
          <t>Ari K. (carpenter)</t>
        </is>
      </c>
      <c r="D17" t="n">
        <v>0.5</v>
      </c>
      <c r="E17" s="21">
        <f>IFERROR(VLOOKUP(C17,Lists!$C$2:$D$10,2,FALSE),0)</f>
        <v>44</v>
      </c>
      <c r="F17" s="21">
        <f>D17*E17</f>
        <v>22</v>
      </c>
    </row>
    <row r="18">
      <c r="A18" s="20" t="n">
        <v>46223</v>
      </c>
      <c r="B18" t="inlineStr">
        <is>
          <t>J-2602</t>
        </is>
      </c>
      <c r="C18" t="inlineStr">
        <is>
          <t>Ari K. (carpenter)</t>
        </is>
      </c>
      <c r="D18" t="n">
        <v>8</v>
      </c>
      <c r="E18" s="21">
        <f>IFERROR(VLOOKUP(C18,Lists!$C$2:$D$10,2,FALSE),0)</f>
        <v>44</v>
      </c>
      <c r="F18" s="21">
        <f>D18*E18</f>
        <v>352</v>
      </c>
    </row>
    <row r="19">
      <c r="A19" s="20" t="n">
        <v>46223</v>
      </c>
      <c r="B19" t="inlineStr">
        <is>
          <t>J-2603</t>
        </is>
      </c>
      <c r="C19" t="inlineStr">
        <is>
          <t>Jo P. (apprentice)</t>
        </is>
      </c>
      <c r="D19" t="n">
        <v>6</v>
      </c>
      <c r="E19" s="21">
        <f>IFERROR(VLOOKUP(C19,Lists!$C$2:$D$10,2,FALSE),0)</f>
        <v>27</v>
      </c>
      <c r="F19" s="21">
        <f>D19*E19</f>
        <v>162</v>
      </c>
    </row>
    <row r="20">
      <c r="A20" s="20" t="n">
        <v>46224</v>
      </c>
      <c r="B20" t="inlineStr">
        <is>
          <t>J-2602</t>
        </is>
      </c>
      <c r="C20" t="inlineStr">
        <is>
          <t>Dev M. (labourer)</t>
        </is>
      </c>
      <c r="D20" t="n">
        <v>6</v>
      </c>
      <c r="E20" s="21">
        <f>IFERROR(VLOOKUP(C20,Lists!$C$2:$D$10,2,FALSE),0)</f>
        <v>34</v>
      </c>
      <c r="F20" s="21">
        <f>D20*E20</f>
        <v>204</v>
      </c>
    </row>
    <row r="21">
      <c r="A21" s="20" t="n">
        <v>46224</v>
      </c>
      <c r="B21" t="inlineStr">
        <is>
          <t>J-2603</t>
        </is>
      </c>
      <c r="C21" t="inlineStr">
        <is>
          <t>Ari K. (carpenter)</t>
        </is>
      </c>
      <c r="D21" t="n">
        <v>8</v>
      </c>
      <c r="E21" s="21">
        <f>IFERROR(VLOOKUP(C21,Lists!$C$2:$D$10,2,FALSE),0)</f>
        <v>44</v>
      </c>
      <c r="F21" s="21">
        <f>D21*E21</f>
        <v>352</v>
      </c>
    </row>
    <row r="22">
      <c r="A22" s="20" t="n">
        <v>46225</v>
      </c>
      <c r="B22" t="inlineStr">
        <is>
          <t>J-2602</t>
        </is>
      </c>
      <c r="C22" t="inlineStr">
        <is>
          <t>Ari K. (carpenter)</t>
        </is>
      </c>
      <c r="D22" t="n">
        <v>1</v>
      </c>
      <c r="E22" s="21">
        <f>IFERROR(VLOOKUP(C22,Lists!$C$2:$D$10,2,FALSE),0)</f>
        <v>44</v>
      </c>
      <c r="F22" s="21">
        <f>D22*E22</f>
        <v>44</v>
      </c>
    </row>
    <row r="23">
      <c r="A23" s="20" t="n">
        <v>46225</v>
      </c>
      <c r="B23" t="inlineStr">
        <is>
          <t>J-2603</t>
        </is>
      </c>
      <c r="C23" t="inlineStr">
        <is>
          <t>Dev M. (labourer)</t>
        </is>
      </c>
      <c r="D23" t="n">
        <v>8</v>
      </c>
      <c r="E23" s="21">
        <f>IFERROR(VLOOKUP(C23,Lists!$C$2:$D$10,2,FALSE),0)</f>
        <v>34</v>
      </c>
      <c r="F23" s="21">
        <f>D23*E23</f>
        <v>272</v>
      </c>
    </row>
    <row r="24">
      <c r="A24" s="20" t="n">
        <v>46226</v>
      </c>
      <c r="B24" t="inlineStr">
        <is>
          <t>J-2603</t>
        </is>
      </c>
      <c r="C24" t="inlineStr">
        <is>
          <t>Jo P. (apprentice)</t>
        </is>
      </c>
      <c r="D24" t="n">
        <v>8</v>
      </c>
      <c r="E24" s="21">
        <f>IFERROR(VLOOKUP(C24,Lists!$C$2:$D$10,2,FALSE),0)</f>
        <v>27</v>
      </c>
      <c r="F24" s="21">
        <f>D24*E24</f>
        <v>216</v>
      </c>
    </row>
    <row r="25">
      <c r="A25" s="20" t="n">
        <v>46227</v>
      </c>
      <c r="B25" t="inlineStr">
        <is>
          <t>J-2603</t>
        </is>
      </c>
      <c r="C25" t="inlineStr">
        <is>
          <t>Ari K. (carpenter)</t>
        </is>
      </c>
      <c r="D25" t="n">
        <v>7.5</v>
      </c>
      <c r="E25" s="21">
        <f>IFERROR(VLOOKUP(C25,Lists!$C$2:$D$10,2,FALSE),0)</f>
        <v>44</v>
      </c>
      <c r="F25" s="21">
        <f>D25*E25</f>
        <v>330</v>
      </c>
    </row>
    <row r="26">
      <c r="A26" s="20" t="n">
        <v>46230</v>
      </c>
      <c r="B26" t="inlineStr">
        <is>
          <t>J-2603</t>
        </is>
      </c>
      <c r="C26" t="inlineStr">
        <is>
          <t>Jo P. (apprentice)</t>
        </is>
      </c>
      <c r="D26" t="n">
        <v>7.5</v>
      </c>
      <c r="E26" s="21">
        <f>IFERROR(VLOOKUP(C26,Lists!$C$2:$D$10,2,FALSE),0)</f>
        <v>27</v>
      </c>
      <c r="F26" s="21">
        <f>D26*E26</f>
        <v>202.5</v>
      </c>
    </row>
    <row r="27">
      <c r="A27" s="20" t="n">
        <v>46230</v>
      </c>
      <c r="B27" t="inlineStr">
        <is>
          <t>J-2604</t>
        </is>
      </c>
      <c r="C27" t="inlineStr">
        <is>
          <t>Sam R. (lead carpenter)</t>
        </is>
      </c>
      <c r="D27" t="n">
        <v>8</v>
      </c>
      <c r="E27" s="21">
        <f>IFERROR(VLOOKUP(C27,Lists!$C$2:$D$10,2,FALSE),0)</f>
        <v>58</v>
      </c>
      <c r="F27" s="21">
        <f>D27*E27</f>
        <v>464</v>
      </c>
    </row>
    <row r="28">
      <c r="A28" s="20" t="n">
        <v>46231</v>
      </c>
      <c r="B28" t="inlineStr">
        <is>
          <t>J-2603</t>
        </is>
      </c>
      <c r="C28" t="inlineStr">
        <is>
          <t>Dev M. (labourer)</t>
        </is>
      </c>
      <c r="D28" t="n">
        <v>7.5</v>
      </c>
      <c r="E28" s="21">
        <f>IFERROR(VLOOKUP(C28,Lists!$C$2:$D$10,2,FALSE),0)</f>
        <v>34</v>
      </c>
      <c r="F28" s="21">
        <f>D28*E28</f>
        <v>255</v>
      </c>
    </row>
    <row r="29">
      <c r="A29" s="20" t="n">
        <v>46231</v>
      </c>
      <c r="B29" t="inlineStr">
        <is>
          <t>J-2604</t>
        </is>
      </c>
      <c r="C29" t="inlineStr">
        <is>
          <t>Jo P. (apprentice)</t>
        </is>
      </c>
      <c r="D29" t="n">
        <v>8</v>
      </c>
      <c r="E29" s="21">
        <f>IFERROR(VLOOKUP(C29,Lists!$C$2:$D$10,2,FALSE),0)</f>
        <v>27</v>
      </c>
      <c r="F29" s="21">
        <f>D29*E29</f>
        <v>216</v>
      </c>
    </row>
    <row r="30">
      <c r="A30" s="20" t="n">
        <v>46232</v>
      </c>
      <c r="B30" t="inlineStr">
        <is>
          <t>J-2603</t>
        </is>
      </c>
      <c r="C30" t="inlineStr">
        <is>
          <t>Jo P. (apprentice)</t>
        </is>
      </c>
      <c r="D30" t="n">
        <v>4</v>
      </c>
      <c r="E30" s="21">
        <f>IFERROR(VLOOKUP(C30,Lists!$C$2:$D$10,2,FALSE),0)</f>
        <v>27</v>
      </c>
      <c r="F30" s="21">
        <f>D30*E30</f>
        <v>108</v>
      </c>
    </row>
    <row r="31">
      <c r="A31" s="20" t="n">
        <v>46232</v>
      </c>
      <c r="B31" t="inlineStr">
        <is>
          <t>J-2604</t>
        </is>
      </c>
      <c r="C31" t="inlineStr">
        <is>
          <t>Ari K. (carpenter)</t>
        </is>
      </c>
      <c r="D31" t="n">
        <v>8</v>
      </c>
      <c r="E31" s="21">
        <f>IFERROR(VLOOKUP(C31,Lists!$C$2:$D$10,2,FALSE),0)</f>
        <v>44</v>
      </c>
      <c r="F31" s="21">
        <f>D31*E31</f>
        <v>352</v>
      </c>
    </row>
    <row r="32">
      <c r="A32" s="20" t="n">
        <v>46233</v>
      </c>
      <c r="B32" t="inlineStr">
        <is>
          <t>J-2603</t>
        </is>
      </c>
      <c r="C32" t="inlineStr">
        <is>
          <t>Sam R. (lead carpenter)</t>
        </is>
      </c>
      <c r="D32" t="n">
        <v>7.5</v>
      </c>
      <c r="E32" s="21">
        <f>IFERROR(VLOOKUP(C32,Lists!$C$2:$D$10,2,FALSE),0)</f>
        <v>58</v>
      </c>
      <c r="F32" s="21">
        <f>D32*E32</f>
        <v>435</v>
      </c>
    </row>
    <row r="33">
      <c r="A33" s="20" t="n">
        <v>46233</v>
      </c>
      <c r="B33" t="inlineStr">
        <is>
          <t>J-2604</t>
        </is>
      </c>
      <c r="C33" t="inlineStr">
        <is>
          <t>Dev M. (labourer)</t>
        </is>
      </c>
      <c r="D33" t="n">
        <v>6</v>
      </c>
      <c r="E33" s="21">
        <f>IFERROR(VLOOKUP(C33,Lists!$C$2:$D$10,2,FALSE),0)</f>
        <v>34</v>
      </c>
      <c r="F33" s="21">
        <f>D33*E33</f>
        <v>204</v>
      </c>
    </row>
    <row r="34">
      <c r="A34" s="20" t="n">
        <v>46234</v>
      </c>
      <c r="B34" t="inlineStr">
        <is>
          <t>J-2603</t>
        </is>
      </c>
      <c r="C34" t="inlineStr">
        <is>
          <t>Sam R. (lead carpenter)</t>
        </is>
      </c>
      <c r="D34" t="n">
        <v>6</v>
      </c>
      <c r="E34" s="21">
        <f>IFERROR(VLOOKUP(C34,Lists!$C$2:$D$10,2,FALSE),0)</f>
        <v>58</v>
      </c>
      <c r="F34" s="21">
        <f>D34*E34</f>
        <v>348</v>
      </c>
    </row>
    <row r="35">
      <c r="A35" s="20" t="n">
        <v>46234</v>
      </c>
      <c r="B35" t="inlineStr">
        <is>
          <t>J-2604</t>
        </is>
      </c>
      <c r="C35" t="inlineStr">
        <is>
          <t>Ari K. (carpenter)</t>
        </is>
      </c>
      <c r="D35" t="n">
        <v>4</v>
      </c>
      <c r="E35" s="21">
        <f>IFERROR(VLOOKUP(C35,Lists!$C$2:$D$10,2,FALSE),0)</f>
        <v>44</v>
      </c>
      <c r="F35" s="21">
        <f>D35*E35</f>
        <v>176</v>
      </c>
    </row>
    <row r="36">
      <c r="A36" s="20" t="n">
        <v>46237</v>
      </c>
      <c r="B36" t="inlineStr">
        <is>
          <t>J-2603</t>
        </is>
      </c>
      <c r="C36" t="inlineStr">
        <is>
          <t>Ari K. (carpenter)</t>
        </is>
      </c>
      <c r="D36" t="n">
        <v>4</v>
      </c>
      <c r="E36" s="21">
        <f>IFERROR(VLOOKUP(C36,Lists!$C$2:$D$10,2,FALSE),0)</f>
        <v>44</v>
      </c>
      <c r="F36" s="21">
        <f>D36*E36</f>
        <v>176</v>
      </c>
    </row>
    <row r="37">
      <c r="A37" s="20" t="n">
        <v>46237</v>
      </c>
      <c r="B37" t="inlineStr">
        <is>
          <t>J-2604</t>
        </is>
      </c>
      <c r="C37" t="inlineStr">
        <is>
          <t>Jo P. (apprentice)</t>
        </is>
      </c>
      <c r="D37" t="n">
        <v>7.5</v>
      </c>
      <c r="E37" s="21">
        <f>IFERROR(VLOOKUP(C37,Lists!$C$2:$D$10,2,FALSE),0)</f>
        <v>27</v>
      </c>
      <c r="F37" s="21">
        <f>D37*E37</f>
        <v>202.5</v>
      </c>
    </row>
    <row r="38">
      <c r="A38" s="20" t="n">
        <v>46237</v>
      </c>
      <c r="B38" t="inlineStr">
        <is>
          <t>J-2605</t>
        </is>
      </c>
      <c r="C38" t="inlineStr">
        <is>
          <t>Ari K. (carpenter)</t>
        </is>
      </c>
      <c r="D38" t="n">
        <v>6</v>
      </c>
      <c r="E38" s="21">
        <f>IFERROR(VLOOKUP(C38,Lists!$C$2:$D$10,2,FALSE),0)</f>
        <v>44</v>
      </c>
      <c r="F38" s="21">
        <f>D38*E38</f>
        <v>264</v>
      </c>
    </row>
    <row r="39">
      <c r="A39" s="20" t="n">
        <v>46238</v>
      </c>
      <c r="B39" t="inlineStr">
        <is>
          <t>J-2603</t>
        </is>
      </c>
      <c r="C39" t="inlineStr">
        <is>
          <t>Ari K. (carpenter)</t>
        </is>
      </c>
      <c r="D39" t="n">
        <v>6</v>
      </c>
      <c r="E39" s="21">
        <f>IFERROR(VLOOKUP(C39,Lists!$C$2:$D$10,2,FALSE),0)</f>
        <v>44</v>
      </c>
      <c r="F39" s="21">
        <f>D39*E39</f>
        <v>264</v>
      </c>
    </row>
    <row r="40">
      <c r="A40" s="20" t="n">
        <v>46238</v>
      </c>
      <c r="B40" t="inlineStr">
        <is>
          <t>J-2604</t>
        </is>
      </c>
      <c r="C40" t="inlineStr">
        <is>
          <t>Ari K. (carpenter)</t>
        </is>
      </c>
      <c r="D40" t="n">
        <v>2</v>
      </c>
      <c r="E40" s="21">
        <f>IFERROR(VLOOKUP(C40,Lists!$C$2:$D$10,2,FALSE),0)</f>
        <v>44</v>
      </c>
      <c r="F40" s="21">
        <f>D40*E40</f>
        <v>88</v>
      </c>
    </row>
    <row r="41">
      <c r="A41" s="20" t="n">
        <v>46238</v>
      </c>
      <c r="B41" t="inlineStr">
        <is>
          <t>J-2605</t>
        </is>
      </c>
      <c r="C41" t="inlineStr">
        <is>
          <t>Sam R. (lead carpenter)</t>
        </is>
      </c>
      <c r="D41" t="n">
        <v>8</v>
      </c>
      <c r="E41" s="21">
        <f>IFERROR(VLOOKUP(C41,Lists!$C$2:$D$10,2,FALSE),0)</f>
        <v>58</v>
      </c>
      <c r="F41" s="21">
        <f>D41*E41</f>
        <v>464</v>
      </c>
    </row>
    <row r="42">
      <c r="A42" s="20" t="n">
        <v>46239</v>
      </c>
      <c r="B42" t="inlineStr">
        <is>
          <t>J-2603</t>
        </is>
      </c>
      <c r="C42" t="inlineStr">
        <is>
          <t>Jo P. (apprentice)</t>
        </is>
      </c>
      <c r="D42" t="n">
        <v>6</v>
      </c>
      <c r="E42" s="21">
        <f>IFERROR(VLOOKUP(C42,Lists!$C$2:$D$10,2,FALSE),0)</f>
        <v>27</v>
      </c>
      <c r="F42" s="21">
        <f>D42*E42</f>
        <v>162</v>
      </c>
    </row>
    <row r="43">
      <c r="A43" s="20" t="n">
        <v>46239</v>
      </c>
      <c r="B43" t="inlineStr">
        <is>
          <t>J-2604</t>
        </is>
      </c>
      <c r="C43" t="inlineStr">
        <is>
          <t>Ari K. (carpenter)</t>
        </is>
      </c>
      <c r="D43" t="n">
        <v>0.5</v>
      </c>
      <c r="E43" s="21">
        <f>IFERROR(VLOOKUP(C43,Lists!$C$2:$D$10,2,FALSE),0)</f>
        <v>44</v>
      </c>
      <c r="F43" s="21">
        <f>D43*E43</f>
        <v>22</v>
      </c>
    </row>
    <row r="44">
      <c r="A44" s="20" t="n">
        <v>46239</v>
      </c>
      <c r="B44" t="inlineStr">
        <is>
          <t>J-2605</t>
        </is>
      </c>
      <c r="C44" t="inlineStr">
        <is>
          <t>Sam R. (lead carpenter)</t>
        </is>
      </c>
      <c r="D44" t="n">
        <v>6</v>
      </c>
      <c r="E44" s="21">
        <f>IFERROR(VLOOKUP(C44,Lists!$C$2:$D$10,2,FALSE),0)</f>
        <v>58</v>
      </c>
      <c r="F44" s="21">
        <f>D44*E44</f>
        <v>348</v>
      </c>
    </row>
    <row r="45">
      <c r="A45" s="20" t="n">
        <v>46240</v>
      </c>
      <c r="B45" t="inlineStr">
        <is>
          <t>J-2603</t>
        </is>
      </c>
      <c r="C45" t="inlineStr">
        <is>
          <t>Ari K. (carpenter)</t>
        </is>
      </c>
      <c r="D45" t="n">
        <v>8</v>
      </c>
      <c r="E45" s="21">
        <f>IFERROR(VLOOKUP(C45,Lists!$C$2:$D$10,2,FALSE),0)</f>
        <v>44</v>
      </c>
      <c r="F45" s="21">
        <f>D45*E45</f>
        <v>352</v>
      </c>
    </row>
    <row r="46">
      <c r="A46" s="20" t="n">
        <v>46240</v>
      </c>
      <c r="B46" t="inlineStr">
        <is>
          <t>J-2605</t>
        </is>
      </c>
      <c r="C46" t="inlineStr">
        <is>
          <t>Sam R. (lead carpenter)</t>
        </is>
      </c>
      <c r="D46" t="n">
        <v>6</v>
      </c>
      <c r="E46" s="21">
        <f>IFERROR(VLOOKUP(C46,Lists!$C$2:$D$10,2,FALSE),0)</f>
        <v>58</v>
      </c>
      <c r="F46" s="21">
        <f>D46*E46</f>
        <v>348</v>
      </c>
    </row>
    <row r="47">
      <c r="A47" s="20" t="n">
        <v>46241</v>
      </c>
      <c r="B47" t="inlineStr">
        <is>
          <t>J-2603</t>
        </is>
      </c>
      <c r="C47" t="inlineStr">
        <is>
          <t>Sam R. (lead carpenter)</t>
        </is>
      </c>
      <c r="D47" t="n">
        <v>4</v>
      </c>
      <c r="E47" s="21">
        <f>IFERROR(VLOOKUP(C47,Lists!$C$2:$D$10,2,FALSE),0)</f>
        <v>58</v>
      </c>
      <c r="F47" s="21">
        <f>D47*E47</f>
        <v>232</v>
      </c>
    </row>
    <row r="48">
      <c r="A48" s="20" t="n">
        <v>46241</v>
      </c>
      <c r="B48" t="inlineStr">
        <is>
          <t>J-2605</t>
        </is>
      </c>
      <c r="C48" t="inlineStr">
        <is>
          <t>Dev M. (labourer)</t>
        </is>
      </c>
      <c r="D48" t="n">
        <v>0.5</v>
      </c>
      <c r="E48" s="21">
        <f>IFERROR(VLOOKUP(C48,Lists!$C$2:$D$10,2,FALSE),0)</f>
        <v>34</v>
      </c>
      <c r="F48" s="21">
        <f>D48*E48</f>
        <v>17</v>
      </c>
    </row>
    <row r="49">
      <c r="A49" s="20" t="n">
        <v>46244</v>
      </c>
      <c r="B49" t="inlineStr">
        <is>
          <t>J-2603</t>
        </is>
      </c>
      <c r="C49" t="inlineStr">
        <is>
          <t>Ari K. (carpenter)</t>
        </is>
      </c>
      <c r="D49" t="n">
        <v>4</v>
      </c>
      <c r="E49" s="21">
        <f>IFERROR(VLOOKUP(C49,Lists!$C$2:$D$10,2,FALSE),0)</f>
        <v>44</v>
      </c>
      <c r="F49" s="21">
        <f>D49*E49</f>
        <v>176</v>
      </c>
    </row>
    <row r="50">
      <c r="A50" s="20" t="n">
        <v>46244</v>
      </c>
      <c r="B50" t="inlineStr">
        <is>
          <t>J-2606</t>
        </is>
      </c>
      <c r="C50" t="inlineStr">
        <is>
          <t>Dev M. (labourer)</t>
        </is>
      </c>
      <c r="D50" t="n">
        <v>8</v>
      </c>
      <c r="E50" s="21">
        <f>IFERROR(VLOOKUP(C50,Lists!$C$2:$D$10,2,FALSE),0)</f>
        <v>34</v>
      </c>
      <c r="F50" s="21">
        <f>D50*E50</f>
        <v>272</v>
      </c>
    </row>
    <row r="51">
      <c r="A51" s="20" t="n">
        <v>46245</v>
      </c>
      <c r="B51" t="inlineStr">
        <is>
          <t>J-2603</t>
        </is>
      </c>
      <c r="C51" t="inlineStr">
        <is>
          <t>Dev M. (labourer)</t>
        </is>
      </c>
      <c r="D51" t="n">
        <v>7.5</v>
      </c>
      <c r="E51" s="21">
        <f>IFERROR(VLOOKUP(C51,Lists!$C$2:$D$10,2,FALSE),0)</f>
        <v>34</v>
      </c>
      <c r="F51" s="21">
        <f>D51*E51</f>
        <v>255</v>
      </c>
    </row>
    <row r="52">
      <c r="A52" s="20" t="n">
        <v>46245</v>
      </c>
      <c r="B52" t="inlineStr">
        <is>
          <t>J-2606</t>
        </is>
      </c>
      <c r="C52" t="inlineStr">
        <is>
          <t>Jo P. (apprentice)</t>
        </is>
      </c>
      <c r="D52" t="n">
        <v>7.5</v>
      </c>
      <c r="E52" s="21">
        <f>IFERROR(VLOOKUP(C52,Lists!$C$2:$D$10,2,FALSE),0)</f>
        <v>27</v>
      </c>
      <c r="F52" s="21">
        <f>D52*E52</f>
        <v>202.5</v>
      </c>
    </row>
    <row r="53">
      <c r="A53" s="20" t="n">
        <v>46246</v>
      </c>
      <c r="B53" t="inlineStr">
        <is>
          <t>J-2606</t>
        </is>
      </c>
      <c r="C53" t="inlineStr">
        <is>
          <t>Sam R. (lead carpenter)</t>
        </is>
      </c>
      <c r="D53" t="n">
        <v>4</v>
      </c>
      <c r="E53" s="21">
        <f>IFERROR(VLOOKUP(C53,Lists!$C$2:$D$10,2,FALSE),0)</f>
        <v>58</v>
      </c>
      <c r="F53" s="21">
        <f>D53*E53</f>
        <v>232</v>
      </c>
    </row>
    <row r="54">
      <c r="A54" s="20" t="n">
        <v>46247</v>
      </c>
      <c r="B54" t="inlineStr">
        <is>
          <t>J-2606</t>
        </is>
      </c>
      <c r="C54" t="inlineStr">
        <is>
          <t>Dev M. (labourer)</t>
        </is>
      </c>
      <c r="D54" t="n">
        <v>2.5</v>
      </c>
      <c r="E54" s="21">
        <f>IFERROR(VLOOKUP(C54,Lists!$C$2:$D$10,2,FALSE),0)</f>
        <v>34</v>
      </c>
      <c r="F54" s="21">
        <f>D54*E54</f>
        <v>85</v>
      </c>
    </row>
    <row r="55">
      <c r="A55" s="20" t="n">
        <v>46251</v>
      </c>
      <c r="B55" t="inlineStr">
        <is>
          <t>J-2607</t>
        </is>
      </c>
      <c r="C55" t="inlineStr">
        <is>
          <t>Dev M. (labourer)</t>
        </is>
      </c>
      <c r="D55" t="n">
        <v>8</v>
      </c>
      <c r="E55" s="21">
        <f>IFERROR(VLOOKUP(C55,Lists!$C$2:$D$10,2,FALSE),0)</f>
        <v>34</v>
      </c>
      <c r="F55" s="21">
        <f>D55*E55</f>
        <v>272</v>
      </c>
    </row>
    <row r="56">
      <c r="A56" s="20" t="n">
        <v>46252</v>
      </c>
      <c r="B56" t="inlineStr">
        <is>
          <t>J-2607</t>
        </is>
      </c>
      <c r="C56" t="inlineStr">
        <is>
          <t>Ari K. (carpenter)</t>
        </is>
      </c>
      <c r="D56" t="n">
        <v>1.5</v>
      </c>
      <c r="E56" s="21">
        <f>IFERROR(VLOOKUP(C56,Lists!$C$2:$D$10,2,FALSE),0)</f>
        <v>44</v>
      </c>
      <c r="F56" s="21">
        <f>D56*E56</f>
        <v>66</v>
      </c>
    </row>
    <row r="57">
      <c r="A57" s="20" t="n">
        <v>46258</v>
      </c>
      <c r="B57" t="inlineStr">
        <is>
          <t>J-2608</t>
        </is>
      </c>
      <c r="C57" t="inlineStr">
        <is>
          <t>Sam R. (lead carpenter)</t>
        </is>
      </c>
      <c r="D57" t="n">
        <v>4</v>
      </c>
      <c r="E57" s="21">
        <f>IFERROR(VLOOKUP(C57,Lists!$C$2:$D$10,2,FALSE),0)</f>
        <v>58</v>
      </c>
      <c r="F57" s="21">
        <f>D57*E57</f>
        <v>232</v>
      </c>
    </row>
    <row r="58">
      <c r="A58" s="20" t="n">
        <v>46259</v>
      </c>
      <c r="B58" t="inlineStr">
        <is>
          <t>J-2608</t>
        </is>
      </c>
      <c r="C58" t="inlineStr">
        <is>
          <t>Jo P. (apprentice)</t>
        </is>
      </c>
      <c r="D58" t="n">
        <v>6</v>
      </c>
      <c r="E58" s="21">
        <f>IFERROR(VLOOKUP(C58,Lists!$C$2:$D$10,2,FALSE),0)</f>
        <v>27</v>
      </c>
      <c r="F58" s="21">
        <f>D58*E58</f>
        <v>162</v>
      </c>
    </row>
    <row r="59">
      <c r="A59" s="20" t="n">
        <v>46260</v>
      </c>
      <c r="B59" t="inlineStr">
        <is>
          <t>J-2608</t>
        </is>
      </c>
      <c r="C59" t="inlineStr">
        <is>
          <t>Ari K. (carpenter)</t>
        </is>
      </c>
      <c r="D59" t="n">
        <v>4</v>
      </c>
      <c r="E59" s="21">
        <f>IFERROR(VLOOKUP(C59,Lists!$C$2:$D$10,2,FALSE),0)</f>
        <v>44</v>
      </c>
      <c r="F59" s="21">
        <f>D59*E59</f>
        <v>176</v>
      </c>
    </row>
    <row r="60">
      <c r="A60" s="20" t="n">
        <v>46261</v>
      </c>
      <c r="B60" t="inlineStr">
        <is>
          <t>J-2608</t>
        </is>
      </c>
      <c r="C60" t="inlineStr">
        <is>
          <t>Ari K. (carpenter)</t>
        </is>
      </c>
      <c r="D60" t="n">
        <v>6</v>
      </c>
      <c r="E60" s="21">
        <f>IFERROR(VLOOKUP(C60,Lists!$C$2:$D$10,2,FALSE),0)</f>
        <v>44</v>
      </c>
      <c r="F60" s="21">
        <f>D60*E60</f>
        <v>264</v>
      </c>
    </row>
    <row r="61">
      <c r="A61" s="20" t="n">
        <v>46262</v>
      </c>
      <c r="B61" t="inlineStr">
        <is>
          <t>J-2608</t>
        </is>
      </c>
      <c r="C61" t="inlineStr">
        <is>
          <t>Sam R. (lead carpenter)</t>
        </is>
      </c>
      <c r="D61" t="n">
        <v>6</v>
      </c>
      <c r="E61" s="21">
        <f>IFERROR(VLOOKUP(C61,Lists!$C$2:$D$10,2,FALSE),0)</f>
        <v>58</v>
      </c>
      <c r="F61" s="21">
        <f>D61*E61</f>
        <v>348</v>
      </c>
    </row>
    <row r="62">
      <c r="A62" s="20" t="n">
        <v>46265</v>
      </c>
      <c r="B62" t="inlineStr">
        <is>
          <t>J-2608</t>
        </is>
      </c>
      <c r="C62" t="inlineStr">
        <is>
          <t>Dev M. (labourer)</t>
        </is>
      </c>
      <c r="D62" t="n">
        <v>7.5</v>
      </c>
      <c r="E62" s="21">
        <f>IFERROR(VLOOKUP(C62,Lists!$C$2:$D$10,2,FALSE),0)</f>
        <v>34</v>
      </c>
      <c r="F62" s="21">
        <f>D62*E62</f>
        <v>255</v>
      </c>
    </row>
    <row r="63">
      <c r="A63" s="20" t="n">
        <v>46265</v>
      </c>
      <c r="B63" t="inlineStr">
        <is>
          <t>J-2609</t>
        </is>
      </c>
      <c r="C63" t="inlineStr">
        <is>
          <t>Ari K. (carpenter)</t>
        </is>
      </c>
      <c r="D63" t="n">
        <v>8</v>
      </c>
      <c r="E63" s="21">
        <f>IFERROR(VLOOKUP(C63,Lists!$C$2:$D$10,2,FALSE),0)</f>
        <v>44</v>
      </c>
      <c r="F63" s="21">
        <f>D63*E63</f>
        <v>352</v>
      </c>
    </row>
    <row r="64">
      <c r="A64" s="20" t="n">
        <v>46266</v>
      </c>
      <c r="B64" t="inlineStr">
        <is>
          <t>J-2608</t>
        </is>
      </c>
      <c r="C64" t="inlineStr">
        <is>
          <t>Dev M. (labourer)</t>
        </is>
      </c>
      <c r="D64" t="n">
        <v>8</v>
      </c>
      <c r="E64" s="21">
        <f>IFERROR(VLOOKUP(C64,Lists!$C$2:$D$10,2,FALSE),0)</f>
        <v>34</v>
      </c>
      <c r="F64" s="21">
        <f>D64*E64</f>
        <v>272</v>
      </c>
    </row>
    <row r="65">
      <c r="A65" s="20" t="n">
        <v>46266</v>
      </c>
      <c r="B65" t="inlineStr">
        <is>
          <t>J-2609</t>
        </is>
      </c>
      <c r="C65" t="inlineStr">
        <is>
          <t>Jo P. (apprentice)</t>
        </is>
      </c>
      <c r="D65" t="n">
        <v>4</v>
      </c>
      <c r="E65" s="21">
        <f>IFERROR(VLOOKUP(C65,Lists!$C$2:$D$10,2,FALSE),0)</f>
        <v>27</v>
      </c>
      <c r="F65" s="21">
        <f>D65*E65</f>
        <v>108</v>
      </c>
    </row>
    <row r="66">
      <c r="A66" s="20" t="n">
        <v>46267</v>
      </c>
      <c r="B66" t="inlineStr">
        <is>
          <t>J-2608</t>
        </is>
      </c>
      <c r="C66" t="inlineStr">
        <is>
          <t>Ari K. (carpenter)</t>
        </is>
      </c>
      <c r="D66" t="n">
        <v>4</v>
      </c>
      <c r="E66" s="21">
        <f>IFERROR(VLOOKUP(C66,Lists!$C$2:$D$10,2,FALSE),0)</f>
        <v>44</v>
      </c>
      <c r="F66" s="21">
        <f>D66*E66</f>
        <v>176</v>
      </c>
    </row>
    <row r="67">
      <c r="A67" s="20" t="n">
        <v>46267</v>
      </c>
      <c r="B67" t="inlineStr">
        <is>
          <t>J-2609</t>
        </is>
      </c>
      <c r="C67" t="inlineStr">
        <is>
          <t>Dev M. (labourer)</t>
        </is>
      </c>
      <c r="D67" t="n">
        <v>4</v>
      </c>
      <c r="E67" s="21">
        <f>IFERROR(VLOOKUP(C67,Lists!$C$2:$D$10,2,FALSE),0)</f>
        <v>34</v>
      </c>
      <c r="F67" s="21">
        <f>D67*E67</f>
        <v>136</v>
      </c>
    </row>
    <row r="68">
      <c r="A68" s="20" t="n">
        <v>46268</v>
      </c>
      <c r="B68" t="inlineStr">
        <is>
          <t>J-2608</t>
        </is>
      </c>
      <c r="C68" t="inlineStr">
        <is>
          <t>Jo P. (apprentice)</t>
        </is>
      </c>
      <c r="D68" t="n">
        <v>7.5</v>
      </c>
      <c r="E68" s="21">
        <f>IFERROR(VLOOKUP(C68,Lists!$C$2:$D$10,2,FALSE),0)</f>
        <v>27</v>
      </c>
      <c r="F68" s="21">
        <f>D68*E68</f>
        <v>202.5</v>
      </c>
    </row>
    <row r="69">
      <c r="A69" s="20" t="n">
        <v>46268</v>
      </c>
      <c r="B69" t="inlineStr">
        <is>
          <t>J-2609</t>
        </is>
      </c>
      <c r="C69" t="inlineStr">
        <is>
          <t>Sam R. (lead carpenter)</t>
        </is>
      </c>
      <c r="D69" t="n">
        <v>6</v>
      </c>
      <c r="E69" s="21">
        <f>IFERROR(VLOOKUP(C69,Lists!$C$2:$D$10,2,FALSE),0)</f>
        <v>58</v>
      </c>
      <c r="F69" s="21">
        <f>D69*E69</f>
        <v>348</v>
      </c>
    </row>
    <row r="70">
      <c r="A70" s="20" t="n">
        <v>46269</v>
      </c>
      <c r="B70" t="inlineStr">
        <is>
          <t>J-2608</t>
        </is>
      </c>
      <c r="C70" t="inlineStr">
        <is>
          <t>Jo P. (apprentice)</t>
        </is>
      </c>
      <c r="D70" t="n">
        <v>7.5</v>
      </c>
      <c r="E70" s="21">
        <f>IFERROR(VLOOKUP(C70,Lists!$C$2:$D$10,2,FALSE),0)</f>
        <v>27</v>
      </c>
      <c r="F70" s="21">
        <f>D70*E70</f>
        <v>202.5</v>
      </c>
    </row>
    <row r="71">
      <c r="A71" s="20" t="n">
        <v>46269</v>
      </c>
      <c r="B71" t="inlineStr">
        <is>
          <t>J-2609</t>
        </is>
      </c>
      <c r="C71" t="inlineStr">
        <is>
          <t>Sam R. (lead carpenter)</t>
        </is>
      </c>
      <c r="D71" t="n">
        <v>4</v>
      </c>
      <c r="E71" s="21">
        <f>IFERROR(VLOOKUP(C71,Lists!$C$2:$D$10,2,FALSE),0)</f>
        <v>58</v>
      </c>
      <c r="F71" s="21">
        <f>D71*E71</f>
        <v>232</v>
      </c>
    </row>
    <row r="72">
      <c r="A72" s="20" t="n">
        <v>46272</v>
      </c>
      <c r="B72" t="inlineStr">
        <is>
          <t>J-2608</t>
        </is>
      </c>
      <c r="C72" t="inlineStr">
        <is>
          <t>Dev M. (labourer)</t>
        </is>
      </c>
      <c r="D72" t="n">
        <v>4</v>
      </c>
      <c r="E72" s="21">
        <f>IFERROR(VLOOKUP(C72,Lists!$C$2:$D$10,2,FALSE),0)</f>
        <v>34</v>
      </c>
      <c r="F72" s="21">
        <f>D72*E72</f>
        <v>136</v>
      </c>
    </row>
    <row r="73">
      <c r="A73" s="20" t="n">
        <v>46272</v>
      </c>
      <c r="B73" t="inlineStr">
        <is>
          <t>J-2609</t>
        </is>
      </c>
      <c r="C73" t="inlineStr">
        <is>
          <t>Jo P. (apprentice)</t>
        </is>
      </c>
      <c r="D73" t="n">
        <v>2.5</v>
      </c>
      <c r="E73" s="21">
        <f>IFERROR(VLOOKUP(C73,Lists!$C$2:$D$10,2,FALSE),0)</f>
        <v>27</v>
      </c>
      <c r="F73" s="21">
        <f>D73*E73</f>
        <v>67.5</v>
      </c>
    </row>
    <row r="74">
      <c r="A74" s="20" t="n">
        <v>46272</v>
      </c>
      <c r="B74" t="inlineStr">
        <is>
          <t>J-2610</t>
        </is>
      </c>
      <c r="C74" t="inlineStr">
        <is>
          <t>Ari K. (carpenter)</t>
        </is>
      </c>
      <c r="D74" t="n">
        <v>7.5</v>
      </c>
      <c r="E74" s="21">
        <f>IFERROR(VLOOKUP(C74,Lists!$C$2:$D$10,2,FALSE),0)</f>
        <v>44</v>
      </c>
      <c r="F74" s="21">
        <f>D74*E74</f>
        <v>330</v>
      </c>
    </row>
    <row r="75">
      <c r="A75" s="20" t="n">
        <v>46273</v>
      </c>
      <c r="B75" t="inlineStr">
        <is>
          <t>J-2608</t>
        </is>
      </c>
      <c r="C75" t="inlineStr">
        <is>
          <t>Dev M. (labourer)</t>
        </is>
      </c>
      <c r="D75" t="n">
        <v>2.5</v>
      </c>
      <c r="E75" s="21">
        <f>IFERROR(VLOOKUP(C75,Lists!$C$2:$D$10,2,FALSE),0)</f>
        <v>34</v>
      </c>
      <c r="F75" s="21">
        <f>D75*E75</f>
        <v>85</v>
      </c>
    </row>
    <row r="76">
      <c r="A76" s="20" t="n">
        <v>46273</v>
      </c>
      <c r="B76" t="inlineStr">
        <is>
          <t>J-2609</t>
        </is>
      </c>
      <c r="C76" t="inlineStr">
        <is>
          <t>Sam R. (lead carpenter)</t>
        </is>
      </c>
      <c r="D76" t="n">
        <v>0.5</v>
      </c>
      <c r="E76" s="21">
        <f>IFERROR(VLOOKUP(C76,Lists!$C$2:$D$10,2,FALSE),0)</f>
        <v>58</v>
      </c>
      <c r="F76" s="21">
        <f>D76*E76</f>
        <v>29</v>
      </c>
    </row>
    <row r="77">
      <c r="A77" s="20" t="n">
        <v>46273</v>
      </c>
      <c r="B77" t="inlineStr">
        <is>
          <t>J-2610</t>
        </is>
      </c>
      <c r="C77" t="inlineStr">
        <is>
          <t>Sam R. (lead carpenter)</t>
        </is>
      </c>
      <c r="D77" t="n">
        <v>8</v>
      </c>
      <c r="E77" s="21">
        <f>IFERROR(VLOOKUP(C77,Lists!$C$2:$D$10,2,FALSE),0)</f>
        <v>58</v>
      </c>
      <c r="F77" s="21">
        <f>D77*E77</f>
        <v>464</v>
      </c>
    </row>
    <row r="78">
      <c r="A78" s="20" t="n">
        <v>46274</v>
      </c>
      <c r="B78" t="inlineStr">
        <is>
          <t>J-2610</t>
        </is>
      </c>
      <c r="C78" t="inlineStr">
        <is>
          <t>Dev M. (labourer)</t>
        </is>
      </c>
      <c r="D78" t="n">
        <v>4</v>
      </c>
      <c r="E78" s="21">
        <f>IFERROR(VLOOKUP(C78,Lists!$C$2:$D$10,2,FALSE),0)</f>
        <v>34</v>
      </c>
      <c r="F78" s="21">
        <f>D78*E78</f>
        <v>136</v>
      </c>
    </row>
    <row r="79">
      <c r="A79" s="20" t="n">
        <v>46275</v>
      </c>
      <c r="B79" t="inlineStr">
        <is>
          <t>J-2610</t>
        </is>
      </c>
      <c r="C79" t="inlineStr">
        <is>
          <t>Sam R. (lead carpenter)</t>
        </is>
      </c>
      <c r="D79" t="n">
        <v>7.5</v>
      </c>
      <c r="E79" s="21">
        <f>IFERROR(VLOOKUP(C79,Lists!$C$2:$D$10,2,FALSE),0)</f>
        <v>58</v>
      </c>
      <c r="F79" s="21">
        <f>D79*E79</f>
        <v>435</v>
      </c>
    </row>
    <row r="80">
      <c r="A80" s="20" t="n">
        <v>46276</v>
      </c>
      <c r="B80" t="inlineStr">
        <is>
          <t>J-2610</t>
        </is>
      </c>
      <c r="C80" t="inlineStr">
        <is>
          <t>Dev M. (labourer)</t>
        </is>
      </c>
      <c r="D80" t="n">
        <v>8</v>
      </c>
      <c r="E80" s="21">
        <f>IFERROR(VLOOKUP(C80,Lists!$C$2:$D$10,2,FALSE),0)</f>
        <v>34</v>
      </c>
      <c r="F80" s="21">
        <f>D80*E80</f>
        <v>272</v>
      </c>
    </row>
    <row r="81">
      <c r="A81" s="20" t="n">
        <v>46279</v>
      </c>
      <c r="B81" t="inlineStr">
        <is>
          <t>J-2610</t>
        </is>
      </c>
      <c r="C81" t="inlineStr">
        <is>
          <t>Sam R. (lead carpenter)</t>
        </is>
      </c>
      <c r="D81" t="n">
        <v>7.5</v>
      </c>
      <c r="E81" s="21">
        <f>IFERROR(VLOOKUP(C81,Lists!$C$2:$D$10,2,FALSE),0)</f>
        <v>58</v>
      </c>
      <c r="F81" s="21">
        <f>D81*E81</f>
        <v>435</v>
      </c>
    </row>
    <row r="82">
      <c r="A82" s="20" t="n">
        <v>46280</v>
      </c>
      <c r="B82" t="inlineStr">
        <is>
          <t>J-2610</t>
        </is>
      </c>
      <c r="C82" t="inlineStr">
        <is>
          <t>Ari K. (carpenter)</t>
        </is>
      </c>
      <c r="D82" t="n">
        <v>8</v>
      </c>
      <c r="E82" s="21">
        <f>IFERROR(VLOOKUP(C82,Lists!$C$2:$D$10,2,FALSE),0)</f>
        <v>44</v>
      </c>
      <c r="F82" s="21">
        <f>D82*E82</f>
        <v>352</v>
      </c>
    </row>
    <row r="83">
      <c r="A83" s="20" t="n">
        <v>46281</v>
      </c>
      <c r="B83" t="inlineStr">
        <is>
          <t>J-2610</t>
        </is>
      </c>
      <c r="C83" t="inlineStr">
        <is>
          <t>Ari K. (carpenter)</t>
        </is>
      </c>
      <c r="D83" t="n">
        <v>4</v>
      </c>
      <c r="E83" s="21">
        <f>IFERROR(VLOOKUP(C83,Lists!$C$2:$D$10,2,FALSE),0)</f>
        <v>44</v>
      </c>
      <c r="F83" s="21">
        <f>D83*E83</f>
        <v>176</v>
      </c>
    </row>
    <row r="84">
      <c r="A84" s="20" t="n">
        <v>46282</v>
      </c>
      <c r="B84" t="inlineStr">
        <is>
          <t>J-2610</t>
        </is>
      </c>
      <c r="C84" t="inlineStr">
        <is>
          <t>Sam R. (lead carpenter)</t>
        </is>
      </c>
      <c r="D84" t="n">
        <v>0.5</v>
      </c>
      <c r="E84" s="21">
        <f>IFERROR(VLOOKUP(C84,Lists!$C$2:$D$10,2,FALSE),0)</f>
        <v>58</v>
      </c>
      <c r="F84" s="21">
        <f>D84*E84</f>
        <v>29</v>
      </c>
    </row>
  </sheetData>
  <dataValidations count="2">
    <dataValidation sqref="B2:B500" showDropDown="0" showInputMessage="0" showErrorMessage="1" allowBlank="1" errorTitle="Pick from the list" error="Please choose a value from the drop-down." type="list">
      <formula1>=Jobs!$A$2:$A$200</formula1>
    </dataValidation>
    <dataValidation sqref="C2:C500" showDropDown="0" showInputMessage="0" showErrorMessage="1" allowBlank="1" errorTitle="Pick from the list" error="Please choose a value from the drop-down." type="list">
      <formula1>=Lists!$C$2:$C$5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7" customWidth="1" min="3" max="3"/>
    <col width="32" customWidth="1" min="4" max="4"/>
    <col width="32" customWidth="1" min="5" max="5"/>
    <col width="12" customWidth="1" min="6" max="6"/>
  </cols>
  <sheetData>
    <row r="1" ht="32" customHeight="1">
      <c r="A1" s="14" t="inlineStr">
        <is>
          <t>Date</t>
        </is>
      </c>
      <c r="B1" s="14" t="inlineStr">
        <is>
          <t>Job ID</t>
        </is>
      </c>
      <c r="C1" s="14" t="inlineStr">
        <is>
          <t>Category</t>
        </is>
      </c>
      <c r="D1" s="14" t="inlineStr">
        <is>
          <t>Supplier</t>
        </is>
      </c>
      <c r="E1" s="14" t="inlineStr">
        <is>
          <t>Description</t>
        </is>
      </c>
      <c r="F1" s="14" t="inlineStr">
        <is>
          <t>Amount</t>
        </is>
      </c>
    </row>
    <row r="2">
      <c r="A2" s="20" t="n">
        <v>46209</v>
      </c>
      <c r="B2" t="inlineStr">
        <is>
          <t>J-2601</t>
        </is>
      </c>
      <c r="C2" t="inlineStr">
        <is>
          <t>Waste removal</t>
        </is>
      </c>
      <c r="D2" t="inlineStr">
        <is>
          <t>Skip-it Bins </t>
        </is>
      </c>
      <c r="E2" t="inlineStr">
        <is>
          <t>Waste removal for deck</t>
        </is>
      </c>
      <c r="F2" s="21" t="n">
        <v>567.1799999999999</v>
      </c>
    </row>
    <row r="3">
      <c r="A3" s="20" t="n">
        <v>46209</v>
      </c>
      <c r="B3" t="inlineStr">
        <is>
          <t>J-2601</t>
        </is>
      </c>
      <c r="C3" t="inlineStr">
        <is>
          <t>Equipment hire</t>
        </is>
      </c>
      <c r="D3" t="inlineStr">
        <is>
          <t>Hirepoint </t>
        </is>
      </c>
      <c r="E3" t="inlineStr">
        <is>
          <t>Equipment hire for deck</t>
        </is>
      </c>
      <c r="F3" s="21" t="n">
        <v>461.87</v>
      </c>
    </row>
    <row r="4">
      <c r="A4" s="20" t="n">
        <v>46209</v>
      </c>
      <c r="B4" t="inlineStr">
        <is>
          <t>J-2601</t>
        </is>
      </c>
      <c r="C4" t="inlineStr">
        <is>
          <t>Materials</t>
        </is>
      </c>
      <c r="D4" t="inlineStr">
        <is>
          <t>Bayside Board Co </t>
        </is>
      </c>
      <c r="E4" t="inlineStr">
        <is>
          <t>Materials for deck</t>
        </is>
      </c>
      <c r="F4" s="21" t="n">
        <v>185.37</v>
      </c>
    </row>
    <row r="5">
      <c r="A5" s="20" t="n">
        <v>46210</v>
      </c>
      <c r="B5" t="inlineStr">
        <is>
          <t>J-2601</t>
        </is>
      </c>
      <c r="C5" t="inlineStr">
        <is>
          <t>Materials</t>
        </is>
      </c>
      <c r="D5" t="inlineStr">
        <is>
          <t>Bayside Board Co </t>
        </is>
      </c>
      <c r="E5" t="inlineStr">
        <is>
          <t>Materials for deck</t>
        </is>
      </c>
      <c r="F5" s="21" t="n">
        <v>944.5599999999999</v>
      </c>
    </row>
    <row r="6">
      <c r="A6" s="20" t="n">
        <v>46211</v>
      </c>
      <c r="B6" t="inlineStr">
        <is>
          <t>J-2601</t>
        </is>
      </c>
      <c r="C6" t="inlineStr">
        <is>
          <t>Materials</t>
        </is>
      </c>
      <c r="D6" t="inlineStr">
        <is>
          <t>Timberline Supplies </t>
        </is>
      </c>
      <c r="E6" t="inlineStr">
        <is>
          <t>Materials for deck</t>
        </is>
      </c>
      <c r="F6" s="21" t="n">
        <v>1280.21</v>
      </c>
    </row>
    <row r="7">
      <c r="A7" s="20" t="n">
        <v>46211</v>
      </c>
      <c r="B7" t="inlineStr">
        <is>
          <t>J-2601</t>
        </is>
      </c>
      <c r="C7" t="inlineStr">
        <is>
          <t>Materials</t>
        </is>
      </c>
      <c r="D7" t="inlineStr">
        <is>
          <t>Hardwarehouse </t>
        </is>
      </c>
      <c r="E7" t="inlineStr">
        <is>
          <t>Materials for deck</t>
        </is>
      </c>
      <c r="F7" s="21" t="n">
        <v>840.52</v>
      </c>
    </row>
    <row r="8">
      <c r="A8" s="20" t="n">
        <v>46213</v>
      </c>
      <c r="B8" t="inlineStr">
        <is>
          <t>J-2601</t>
        </is>
      </c>
      <c r="C8" t="inlineStr">
        <is>
          <t>Materials</t>
        </is>
      </c>
      <c r="D8" t="inlineStr">
        <is>
          <t>Hardwarehouse </t>
        </is>
      </c>
      <c r="E8" t="inlineStr">
        <is>
          <t>Materials for deck</t>
        </is>
      </c>
      <c r="F8" s="21" t="n">
        <v>1271.64</v>
      </c>
    </row>
    <row r="9">
      <c r="A9" s="20" t="n">
        <v>46215</v>
      </c>
      <c r="B9" t="inlineStr">
        <is>
          <t>J-2601</t>
        </is>
      </c>
      <c r="C9" t="inlineStr">
        <is>
          <t>Materials</t>
        </is>
      </c>
      <c r="D9" t="inlineStr">
        <is>
          <t>Bayside Board Co </t>
        </is>
      </c>
      <c r="E9" t="inlineStr">
        <is>
          <t>Materials for deck</t>
        </is>
      </c>
      <c r="F9" s="21" t="n">
        <v>462.65</v>
      </c>
    </row>
    <row r="10">
      <c r="A10" s="20" t="n">
        <v>46216</v>
      </c>
      <c r="B10" t="inlineStr">
        <is>
          <t>J-2602</t>
        </is>
      </c>
      <c r="C10" t="inlineStr">
        <is>
          <t>Equipment hire</t>
        </is>
      </c>
      <c r="D10" t="inlineStr">
        <is>
          <t>Hirepoint </t>
        </is>
      </c>
      <c r="E10" t="inlineStr">
        <is>
          <t>Equipment hire for pergola</t>
        </is>
      </c>
      <c r="F10" s="21" t="n">
        <v>205.61</v>
      </c>
    </row>
    <row r="11">
      <c r="A11" s="20" t="n">
        <v>46218</v>
      </c>
      <c r="B11" t="inlineStr">
        <is>
          <t>J-2602</t>
        </is>
      </c>
      <c r="C11" t="inlineStr">
        <is>
          <t>Subcontractor</t>
        </is>
      </c>
      <c r="D11" t="inlineStr">
        <is>
          <t>Spark Lane Electrical </t>
        </is>
      </c>
      <c r="E11" t="inlineStr">
        <is>
          <t>Subcontractor for pergola</t>
        </is>
      </c>
      <c r="F11" s="21" t="n">
        <v>415.37</v>
      </c>
    </row>
    <row r="12">
      <c r="A12" s="20" t="n">
        <v>46221</v>
      </c>
      <c r="B12" t="inlineStr">
        <is>
          <t>J-2602</t>
        </is>
      </c>
      <c r="C12" t="inlineStr">
        <is>
          <t>Materials</t>
        </is>
      </c>
      <c r="D12" t="inlineStr">
        <is>
          <t>Hardwarehouse </t>
        </is>
      </c>
      <c r="E12" t="inlineStr">
        <is>
          <t>Materials for pergola</t>
        </is>
      </c>
      <c r="F12" s="21" t="n">
        <v>1770.81</v>
      </c>
    </row>
    <row r="13">
      <c r="A13" s="20" t="n">
        <v>46223</v>
      </c>
      <c r="B13" t="inlineStr">
        <is>
          <t>J-2602</t>
        </is>
      </c>
      <c r="C13" t="inlineStr">
        <is>
          <t>Equipment hire</t>
        </is>
      </c>
      <c r="D13" t="inlineStr">
        <is>
          <t>Hirepoint </t>
        </is>
      </c>
      <c r="E13" t="inlineStr">
        <is>
          <t>Equipment hire for pergola</t>
        </is>
      </c>
      <c r="F13" s="21" t="n">
        <v>681.11</v>
      </c>
    </row>
    <row r="14">
      <c r="A14" s="20" t="n">
        <v>46223</v>
      </c>
      <c r="B14" t="inlineStr">
        <is>
          <t>J-2603</t>
        </is>
      </c>
      <c r="C14" t="inlineStr">
        <is>
          <t>Materials</t>
        </is>
      </c>
      <c r="D14" t="inlineStr">
        <is>
          <t>Bayside Board Co </t>
        </is>
      </c>
      <c r="E14" t="inlineStr">
        <is>
          <t>Materials for kitchen joinery</t>
        </is>
      </c>
      <c r="F14" s="21" t="n">
        <v>991.3200000000001</v>
      </c>
    </row>
    <row r="15">
      <c r="A15" s="20" t="n">
        <v>46225</v>
      </c>
      <c r="B15" t="inlineStr">
        <is>
          <t>J-2603</t>
        </is>
      </c>
      <c r="C15" t="inlineStr">
        <is>
          <t>Materials</t>
        </is>
      </c>
      <c r="D15" t="inlineStr">
        <is>
          <t>Hardwarehouse </t>
        </is>
      </c>
      <c r="E15" t="inlineStr">
        <is>
          <t>Materials for kitchen joinery</t>
        </is>
      </c>
      <c r="F15" s="21" t="n">
        <v>1002.96</v>
      </c>
    </row>
    <row r="16">
      <c r="A16" s="20" t="n">
        <v>46226</v>
      </c>
      <c r="B16" t="inlineStr">
        <is>
          <t>J-2602</t>
        </is>
      </c>
      <c r="C16" t="inlineStr">
        <is>
          <t>Equipment hire</t>
        </is>
      </c>
      <c r="D16" t="inlineStr">
        <is>
          <t>Hirepoint </t>
        </is>
      </c>
      <c r="E16" t="inlineStr">
        <is>
          <t>Equipment hire for pergola</t>
        </is>
      </c>
      <c r="F16" s="21" t="n">
        <v>325.64</v>
      </c>
    </row>
    <row r="17">
      <c r="A17" s="20" t="n">
        <v>46226</v>
      </c>
      <c r="B17" t="inlineStr">
        <is>
          <t>J-2603</t>
        </is>
      </c>
      <c r="C17" t="inlineStr">
        <is>
          <t>Materials</t>
        </is>
      </c>
      <c r="D17" t="inlineStr">
        <is>
          <t>Bayside Board Co </t>
        </is>
      </c>
      <c r="E17" t="inlineStr">
        <is>
          <t>Materials for kitchen joinery</t>
        </is>
      </c>
      <c r="F17" s="21" t="n">
        <v>1685.95</v>
      </c>
    </row>
    <row r="18">
      <c r="A18" s="20" t="n">
        <v>46226</v>
      </c>
      <c r="B18" t="inlineStr">
        <is>
          <t>J-2603</t>
        </is>
      </c>
      <c r="C18" t="inlineStr">
        <is>
          <t>Materials</t>
        </is>
      </c>
      <c r="D18" t="inlineStr">
        <is>
          <t>Bayside Board Co </t>
        </is>
      </c>
      <c r="E18" t="inlineStr">
        <is>
          <t>Materials for kitchen joinery</t>
        </is>
      </c>
      <c r="F18" s="21" t="n">
        <v>1500.18</v>
      </c>
    </row>
    <row r="19">
      <c r="A19" s="20" t="n">
        <v>46226</v>
      </c>
      <c r="B19" t="inlineStr">
        <is>
          <t>J-2603</t>
        </is>
      </c>
      <c r="C19" t="inlineStr">
        <is>
          <t>Materials</t>
        </is>
      </c>
      <c r="D19" t="inlineStr">
        <is>
          <t>Bayside Board Co </t>
        </is>
      </c>
      <c r="E19" t="inlineStr">
        <is>
          <t>Materials for kitchen joinery</t>
        </is>
      </c>
      <c r="F19" s="21" t="n">
        <v>1120.07</v>
      </c>
    </row>
    <row r="20">
      <c r="A20" s="20" t="n">
        <v>46228</v>
      </c>
      <c r="B20" t="inlineStr">
        <is>
          <t>J-2602</t>
        </is>
      </c>
      <c r="C20" t="inlineStr">
        <is>
          <t>Materials</t>
        </is>
      </c>
      <c r="D20" t="inlineStr">
        <is>
          <t>Timberline Supplies </t>
        </is>
      </c>
      <c r="E20" t="inlineStr">
        <is>
          <t>Materials for pergola</t>
        </is>
      </c>
      <c r="F20" s="21" t="n">
        <v>579.46</v>
      </c>
    </row>
    <row r="21">
      <c r="A21" s="20" t="n">
        <v>46229</v>
      </c>
      <c r="B21" t="inlineStr">
        <is>
          <t>J-2603</t>
        </is>
      </c>
      <c r="C21" t="inlineStr">
        <is>
          <t>Materials</t>
        </is>
      </c>
      <c r="D21" t="inlineStr">
        <is>
          <t>Bayside Board Co </t>
        </is>
      </c>
      <c r="E21" t="inlineStr">
        <is>
          <t>Materials for kitchen joinery</t>
        </is>
      </c>
      <c r="F21" s="21" t="n">
        <v>756.98</v>
      </c>
    </row>
    <row r="22">
      <c r="A22" s="20" t="n">
        <v>46229</v>
      </c>
      <c r="B22" t="inlineStr">
        <is>
          <t>J-2603</t>
        </is>
      </c>
      <c r="C22" t="inlineStr">
        <is>
          <t>Materials</t>
        </is>
      </c>
      <c r="D22" t="inlineStr">
        <is>
          <t>Bayside Board Co </t>
        </is>
      </c>
      <c r="E22" t="inlineStr">
        <is>
          <t>Materials for kitchen joinery</t>
        </is>
      </c>
      <c r="F22" s="21" t="n">
        <v>909.76</v>
      </c>
    </row>
    <row r="23">
      <c r="A23" s="20" t="n">
        <v>46230</v>
      </c>
      <c r="B23" t="inlineStr">
        <is>
          <t>J-2604</t>
        </is>
      </c>
      <c r="C23" t="inlineStr">
        <is>
          <t>Waste removal</t>
        </is>
      </c>
      <c r="D23" t="inlineStr">
        <is>
          <t>Skip-it Bins </t>
        </is>
      </c>
      <c r="E23" t="inlineStr">
        <is>
          <t>Waste removal for built-in wardrobes</t>
        </is>
      </c>
      <c r="F23" s="21" t="n">
        <v>565.84</v>
      </c>
    </row>
    <row r="24">
      <c r="A24" s="20" t="n">
        <v>46232</v>
      </c>
      <c r="B24" t="inlineStr">
        <is>
          <t>J-2603</t>
        </is>
      </c>
      <c r="C24" t="inlineStr">
        <is>
          <t>Subcontractor</t>
        </is>
      </c>
      <c r="D24" t="inlineStr">
        <is>
          <t>Spark Lane Electrical </t>
        </is>
      </c>
      <c r="E24" t="inlineStr">
        <is>
          <t>Subcontractor for kitchen joinery</t>
        </is>
      </c>
      <c r="F24" s="21" t="n">
        <v>434.51</v>
      </c>
    </row>
    <row r="25">
      <c r="A25" s="20" t="n">
        <v>46232</v>
      </c>
      <c r="B25" t="inlineStr">
        <is>
          <t>J-2603</t>
        </is>
      </c>
      <c r="C25" t="inlineStr">
        <is>
          <t>Waste removal</t>
        </is>
      </c>
      <c r="D25" t="inlineStr">
        <is>
          <t>Skip-it Bins </t>
        </is>
      </c>
      <c r="E25" t="inlineStr">
        <is>
          <t>Waste removal for kitchen joinery</t>
        </is>
      </c>
      <c r="F25" s="21" t="n">
        <v>113.5</v>
      </c>
    </row>
    <row r="26">
      <c r="A26" s="20" t="n">
        <v>46232</v>
      </c>
      <c r="B26" t="inlineStr">
        <is>
          <t>J-2603</t>
        </is>
      </c>
      <c r="C26" t="inlineStr">
        <is>
          <t>Equipment hire</t>
        </is>
      </c>
      <c r="D26" t="inlineStr">
        <is>
          <t>Hirepoint </t>
        </is>
      </c>
      <c r="E26" t="inlineStr">
        <is>
          <t>Equipment hire for kitchen joinery</t>
        </is>
      </c>
      <c r="F26" s="21" t="n">
        <v>180.29</v>
      </c>
    </row>
    <row r="27">
      <c r="A27" s="20" t="n">
        <v>46232</v>
      </c>
      <c r="B27" t="inlineStr">
        <is>
          <t>J-2603</t>
        </is>
      </c>
      <c r="C27" t="inlineStr">
        <is>
          <t>Equipment hire</t>
        </is>
      </c>
      <c r="D27" t="inlineStr">
        <is>
          <t>Hirepoint </t>
        </is>
      </c>
      <c r="E27" t="inlineStr">
        <is>
          <t>Equipment hire for kitchen joinery</t>
        </is>
      </c>
      <c r="F27" s="21" t="n">
        <v>148.45</v>
      </c>
    </row>
    <row r="28">
      <c r="A28" s="20" t="n">
        <v>46232</v>
      </c>
      <c r="B28" t="inlineStr">
        <is>
          <t>J-2604</t>
        </is>
      </c>
      <c r="C28" t="inlineStr">
        <is>
          <t>Materials</t>
        </is>
      </c>
      <c r="D28" t="inlineStr">
        <is>
          <t>Timberline Supplies </t>
        </is>
      </c>
      <c r="E28" t="inlineStr">
        <is>
          <t>Materials for built-in wardrobes</t>
        </is>
      </c>
      <c r="F28" s="21" t="n">
        <v>1038.61</v>
      </c>
    </row>
    <row r="29">
      <c r="A29" s="20" t="n">
        <v>46233</v>
      </c>
      <c r="B29" t="inlineStr">
        <is>
          <t>J-2604</t>
        </is>
      </c>
      <c r="C29" t="inlineStr">
        <is>
          <t>Subcontractor</t>
        </is>
      </c>
      <c r="D29" t="inlineStr">
        <is>
          <t>Spark Lane Electrical </t>
        </is>
      </c>
      <c r="E29" t="inlineStr">
        <is>
          <t>Subcontractor for built-in wardrobes</t>
        </is>
      </c>
      <c r="F29" s="21" t="n">
        <v>289.82</v>
      </c>
    </row>
    <row r="30">
      <c r="A30" s="20" t="n">
        <v>46234</v>
      </c>
      <c r="B30" t="inlineStr">
        <is>
          <t>J-2603</t>
        </is>
      </c>
      <c r="C30" t="inlineStr">
        <is>
          <t>Materials</t>
        </is>
      </c>
      <c r="D30" t="inlineStr">
        <is>
          <t>Hardwarehouse </t>
        </is>
      </c>
      <c r="E30" t="inlineStr">
        <is>
          <t>Materials for kitchen joinery</t>
        </is>
      </c>
      <c r="F30" s="21" t="n">
        <v>1086.21</v>
      </c>
    </row>
    <row r="31">
      <c r="A31" s="20" t="n">
        <v>46235</v>
      </c>
      <c r="B31" t="inlineStr">
        <is>
          <t>J-2603</t>
        </is>
      </c>
      <c r="C31" t="inlineStr">
        <is>
          <t>Equipment hire</t>
        </is>
      </c>
      <c r="D31" t="inlineStr">
        <is>
          <t>Hirepoint </t>
        </is>
      </c>
      <c r="E31" t="inlineStr">
        <is>
          <t>Equipment hire for kitchen joinery</t>
        </is>
      </c>
      <c r="F31" s="21" t="n">
        <v>547.53</v>
      </c>
    </row>
    <row r="32">
      <c r="A32" s="20" t="n">
        <v>46235</v>
      </c>
      <c r="B32" t="inlineStr">
        <is>
          <t>J-2603</t>
        </is>
      </c>
      <c r="C32" t="inlineStr">
        <is>
          <t>Materials</t>
        </is>
      </c>
      <c r="D32" t="inlineStr">
        <is>
          <t>Timberline Supplies </t>
        </is>
      </c>
      <c r="E32" t="inlineStr">
        <is>
          <t>Materials for kitchen joinery</t>
        </is>
      </c>
      <c r="F32" s="21" t="n">
        <v>514.89</v>
      </c>
    </row>
    <row r="33">
      <c r="A33" s="20" t="n">
        <v>46236</v>
      </c>
      <c r="B33" t="inlineStr">
        <is>
          <t>J-2603</t>
        </is>
      </c>
      <c r="C33" t="inlineStr">
        <is>
          <t>Materials</t>
        </is>
      </c>
      <c r="D33" t="inlineStr">
        <is>
          <t>Bayside Board Co </t>
        </is>
      </c>
      <c r="E33" t="inlineStr">
        <is>
          <t>Materials for kitchen joinery</t>
        </is>
      </c>
      <c r="F33" s="21" t="n">
        <v>239.33</v>
      </c>
    </row>
    <row r="34">
      <c r="A34" s="20" t="n">
        <v>46236</v>
      </c>
      <c r="B34" t="inlineStr">
        <is>
          <t>J-2604</t>
        </is>
      </c>
      <c r="C34" t="inlineStr">
        <is>
          <t>Materials</t>
        </is>
      </c>
      <c r="D34" t="inlineStr">
        <is>
          <t>Bayside Board Co </t>
        </is>
      </c>
      <c r="E34" t="inlineStr">
        <is>
          <t>Materials for built-in wardrobes</t>
        </is>
      </c>
      <c r="F34" s="21" t="n">
        <v>634.64</v>
      </c>
    </row>
    <row r="35">
      <c r="A35" s="20" t="n">
        <v>46237</v>
      </c>
      <c r="B35" t="inlineStr">
        <is>
          <t>J-2603</t>
        </is>
      </c>
      <c r="C35" t="inlineStr">
        <is>
          <t>Subcontractor</t>
        </is>
      </c>
      <c r="D35" t="inlineStr">
        <is>
          <t>Spark Lane Electrical </t>
        </is>
      </c>
      <c r="E35" t="inlineStr">
        <is>
          <t>Subcontractor for kitchen joinery</t>
        </is>
      </c>
      <c r="F35" s="21" t="n">
        <v>540.29</v>
      </c>
    </row>
    <row r="36">
      <c r="A36" s="20" t="n">
        <v>46237</v>
      </c>
      <c r="B36" t="inlineStr">
        <is>
          <t>J-2604</t>
        </is>
      </c>
      <c r="C36" t="inlineStr">
        <is>
          <t>Travel &amp; parking</t>
        </is>
      </c>
      <c r="D36" t="inlineStr">
        <is>
          <t>Parking / tolls</t>
        </is>
      </c>
      <c r="E36" t="inlineStr">
        <is>
          <t>Travel &amp; parking for built-in wardrobes</t>
        </is>
      </c>
      <c r="F36" s="21" t="n">
        <v>584.04</v>
      </c>
    </row>
    <row r="37">
      <c r="A37" s="20" t="n">
        <v>46237</v>
      </c>
      <c r="B37" t="inlineStr">
        <is>
          <t>J-2605</t>
        </is>
      </c>
      <c r="C37" t="inlineStr">
        <is>
          <t>Equipment hire</t>
        </is>
      </c>
      <c r="D37" t="inlineStr">
        <is>
          <t>Hirepoint </t>
        </is>
      </c>
      <c r="E37" t="inlineStr">
        <is>
          <t>Equipment hire for fencing</t>
        </is>
      </c>
      <c r="F37" s="21" t="n">
        <v>77.76000000000001</v>
      </c>
    </row>
    <row r="38">
      <c r="A38" s="20" t="n">
        <v>46237</v>
      </c>
      <c r="B38" t="inlineStr">
        <is>
          <t>J-2605</t>
        </is>
      </c>
      <c r="C38" t="inlineStr">
        <is>
          <t>Equipment hire</t>
        </is>
      </c>
      <c r="D38" t="inlineStr">
        <is>
          <t>Hirepoint </t>
        </is>
      </c>
      <c r="E38" t="inlineStr">
        <is>
          <t>Equipment hire for fencing</t>
        </is>
      </c>
      <c r="F38" s="21" t="n">
        <v>98.58</v>
      </c>
    </row>
    <row r="39">
      <c r="A39" s="20" t="n">
        <v>46239</v>
      </c>
      <c r="B39" t="inlineStr">
        <is>
          <t>J-2603</t>
        </is>
      </c>
      <c r="C39" t="inlineStr">
        <is>
          <t>Materials</t>
        </is>
      </c>
      <c r="D39" t="inlineStr">
        <is>
          <t>Bayside Board Co </t>
        </is>
      </c>
      <c r="E39" t="inlineStr">
        <is>
          <t>Materials for kitchen joinery</t>
        </is>
      </c>
      <c r="F39" s="21" t="n">
        <v>167.7</v>
      </c>
    </row>
    <row r="40">
      <c r="A40" s="20" t="n">
        <v>46240</v>
      </c>
      <c r="B40" t="inlineStr">
        <is>
          <t>J-2604</t>
        </is>
      </c>
      <c r="C40" t="inlineStr">
        <is>
          <t>Materials</t>
        </is>
      </c>
      <c r="D40" t="inlineStr">
        <is>
          <t>Hardwarehouse </t>
        </is>
      </c>
      <c r="E40" t="inlineStr">
        <is>
          <t>Materials for built-in wardrobes</t>
        </is>
      </c>
      <c r="F40" s="21" t="n">
        <v>800.05</v>
      </c>
    </row>
    <row r="41">
      <c r="A41" s="20" t="n">
        <v>46240</v>
      </c>
      <c r="B41" t="inlineStr">
        <is>
          <t>J-2605</t>
        </is>
      </c>
      <c r="C41" t="inlineStr">
        <is>
          <t>Materials</t>
        </is>
      </c>
      <c r="D41" t="inlineStr">
        <is>
          <t>Timberline Supplies </t>
        </is>
      </c>
      <c r="E41" t="inlineStr">
        <is>
          <t>Materials for fencing</t>
        </is>
      </c>
      <c r="F41" s="21" t="n">
        <v>1645.98</v>
      </c>
    </row>
    <row r="42">
      <c r="A42" s="20" t="n">
        <v>46240</v>
      </c>
      <c r="B42" t="inlineStr">
        <is>
          <t>J-2605</t>
        </is>
      </c>
      <c r="C42" t="inlineStr">
        <is>
          <t>Materials</t>
        </is>
      </c>
      <c r="D42" t="inlineStr">
        <is>
          <t>Bayside Board Co </t>
        </is>
      </c>
      <c r="E42" t="inlineStr">
        <is>
          <t>Materials for fencing</t>
        </is>
      </c>
      <c r="F42" s="21" t="n">
        <v>465.68</v>
      </c>
    </row>
    <row r="43">
      <c r="A43" s="20" t="n">
        <v>46242</v>
      </c>
      <c r="B43" t="inlineStr">
        <is>
          <t>J-2603</t>
        </is>
      </c>
      <c r="C43" t="inlineStr">
        <is>
          <t>Materials</t>
        </is>
      </c>
      <c r="D43" t="inlineStr">
        <is>
          <t>Timberline Supplies </t>
        </is>
      </c>
      <c r="E43" t="inlineStr">
        <is>
          <t>Materials for kitchen joinery</t>
        </is>
      </c>
      <c r="F43" s="21" t="n">
        <v>1512.08</v>
      </c>
    </row>
    <row r="44">
      <c r="A44" s="20" t="n">
        <v>46244</v>
      </c>
      <c r="B44" t="inlineStr">
        <is>
          <t>J-2606</t>
        </is>
      </c>
      <c r="C44" t="inlineStr">
        <is>
          <t>Materials</t>
        </is>
      </c>
      <c r="D44" t="inlineStr">
        <is>
          <t>Bayside Board Co </t>
        </is>
      </c>
      <c r="E44" t="inlineStr">
        <is>
          <t>Materials for bathroom vanity</t>
        </is>
      </c>
      <c r="F44" s="21" t="n">
        <v>1695.35</v>
      </c>
    </row>
    <row r="45">
      <c r="A45" s="20" t="n">
        <v>46247</v>
      </c>
      <c r="B45" t="inlineStr">
        <is>
          <t>J-2606</t>
        </is>
      </c>
      <c r="C45" t="inlineStr">
        <is>
          <t>Materials</t>
        </is>
      </c>
      <c r="D45" t="inlineStr">
        <is>
          <t>Hardwarehouse </t>
        </is>
      </c>
      <c r="E45" t="inlineStr">
        <is>
          <t>Materials for bathroom vanity</t>
        </is>
      </c>
      <c r="F45" s="21" t="n">
        <v>603.65</v>
      </c>
    </row>
    <row r="46">
      <c r="A46" s="20" t="n">
        <v>46251</v>
      </c>
      <c r="B46" t="inlineStr">
        <is>
          <t>J-2607</t>
        </is>
      </c>
      <c r="C46" t="inlineStr">
        <is>
          <t>Materials</t>
        </is>
      </c>
      <c r="D46" t="inlineStr">
        <is>
          <t>Timberline Supplies </t>
        </is>
      </c>
      <c r="E46" t="inlineStr">
        <is>
          <t>Materials for repairs</t>
        </is>
      </c>
      <c r="F46" s="21" t="n">
        <v>427.5</v>
      </c>
    </row>
    <row r="47">
      <c r="A47" s="20" t="n">
        <v>46258</v>
      </c>
      <c r="B47" t="inlineStr">
        <is>
          <t>J-2608</t>
        </is>
      </c>
      <c r="C47" t="inlineStr">
        <is>
          <t>Waste removal</t>
        </is>
      </c>
      <c r="D47" t="inlineStr">
        <is>
          <t>Skip-it Bins </t>
        </is>
      </c>
      <c r="E47" t="inlineStr">
        <is>
          <t>Waste removal for deck</t>
        </is>
      </c>
      <c r="F47" s="21" t="n">
        <v>649.72</v>
      </c>
    </row>
    <row r="48">
      <c r="A48" s="20" t="n">
        <v>46260</v>
      </c>
      <c r="B48" t="inlineStr">
        <is>
          <t>J-2608</t>
        </is>
      </c>
      <c r="C48" t="inlineStr">
        <is>
          <t>Materials</t>
        </is>
      </c>
      <c r="D48" t="inlineStr">
        <is>
          <t>Timberline Supplies </t>
        </is>
      </c>
      <c r="E48" t="inlineStr">
        <is>
          <t>Materials for deck</t>
        </is>
      </c>
      <c r="F48" s="21" t="n">
        <v>550.5</v>
      </c>
    </row>
    <row r="49">
      <c r="A49" s="20" t="n">
        <v>46263</v>
      </c>
      <c r="B49" t="inlineStr">
        <is>
          <t>J-2608</t>
        </is>
      </c>
      <c r="C49" t="inlineStr">
        <is>
          <t>Travel &amp; parking</t>
        </is>
      </c>
      <c r="D49" t="inlineStr">
        <is>
          <t>Parking / tolls</t>
        </is>
      </c>
      <c r="E49" t="inlineStr">
        <is>
          <t>Travel &amp; parking for deck</t>
        </is>
      </c>
      <c r="F49" s="21" t="n">
        <v>175.06</v>
      </c>
    </row>
    <row r="50">
      <c r="A50" s="20" t="n">
        <v>46264</v>
      </c>
      <c r="B50" t="inlineStr">
        <is>
          <t>J-2608</t>
        </is>
      </c>
      <c r="C50" t="inlineStr">
        <is>
          <t>Materials</t>
        </is>
      </c>
      <c r="D50" t="inlineStr">
        <is>
          <t>Timberline Supplies </t>
        </is>
      </c>
      <c r="E50" t="inlineStr">
        <is>
          <t>Materials for deck</t>
        </is>
      </c>
      <c r="F50" s="21" t="n">
        <v>855.91</v>
      </c>
    </row>
    <row r="51">
      <c r="A51" s="20" t="n">
        <v>46264</v>
      </c>
      <c r="B51" t="inlineStr">
        <is>
          <t>J-2608</t>
        </is>
      </c>
      <c r="C51" t="inlineStr">
        <is>
          <t>Materials</t>
        </is>
      </c>
      <c r="D51" t="inlineStr">
        <is>
          <t>Timberline Supplies </t>
        </is>
      </c>
      <c r="E51" t="inlineStr">
        <is>
          <t>Materials for deck</t>
        </is>
      </c>
      <c r="F51" s="21" t="n">
        <v>673.58</v>
      </c>
    </row>
    <row r="52">
      <c r="A52" s="20" t="n">
        <v>46265</v>
      </c>
      <c r="B52" t="inlineStr">
        <is>
          <t>J-2609</t>
        </is>
      </c>
      <c r="C52" t="inlineStr">
        <is>
          <t>Materials</t>
        </is>
      </c>
      <c r="D52" t="inlineStr">
        <is>
          <t>Hardwarehouse </t>
        </is>
      </c>
      <c r="E52" t="inlineStr">
        <is>
          <t>Materials for built-in wardrobes</t>
        </is>
      </c>
      <c r="F52" s="21" t="n">
        <v>657.17</v>
      </c>
    </row>
    <row r="53">
      <c r="A53" s="20" t="n">
        <v>46265</v>
      </c>
      <c r="B53" t="inlineStr">
        <is>
          <t>J-2609</t>
        </is>
      </c>
      <c r="C53" t="inlineStr">
        <is>
          <t>Materials</t>
        </is>
      </c>
      <c r="D53" t="inlineStr">
        <is>
          <t>Bayside Board Co </t>
        </is>
      </c>
      <c r="E53" t="inlineStr">
        <is>
          <t>Materials for built-in wardrobes</t>
        </is>
      </c>
      <c r="F53" s="21" t="n">
        <v>1290.13</v>
      </c>
    </row>
    <row r="54">
      <c r="A54" s="20" t="n">
        <v>46266</v>
      </c>
      <c r="B54" t="inlineStr">
        <is>
          <t>J-2608</t>
        </is>
      </c>
      <c r="C54" t="inlineStr">
        <is>
          <t>Materials</t>
        </is>
      </c>
      <c r="D54" t="inlineStr">
        <is>
          <t>Hardwarehouse </t>
        </is>
      </c>
      <c r="E54" t="inlineStr">
        <is>
          <t>Materials for deck</t>
        </is>
      </c>
      <c r="F54" s="21" t="n">
        <v>446.99</v>
      </c>
    </row>
    <row r="55">
      <c r="A55" s="20" t="n">
        <v>46266</v>
      </c>
      <c r="B55" t="inlineStr">
        <is>
          <t>J-2608</t>
        </is>
      </c>
      <c r="C55" t="inlineStr">
        <is>
          <t>Waste removal</t>
        </is>
      </c>
      <c r="D55" t="inlineStr">
        <is>
          <t>Skip-it Bins </t>
        </is>
      </c>
      <c r="E55" t="inlineStr">
        <is>
          <t>Waste removal for deck</t>
        </is>
      </c>
      <c r="F55" s="21" t="n">
        <v>267.13</v>
      </c>
    </row>
    <row r="56">
      <c r="A56" s="20" t="n">
        <v>46266</v>
      </c>
      <c r="B56" t="inlineStr">
        <is>
          <t>J-2608</t>
        </is>
      </c>
      <c r="C56" t="inlineStr">
        <is>
          <t>Materials</t>
        </is>
      </c>
      <c r="D56" t="inlineStr">
        <is>
          <t>Bayside Board Co </t>
        </is>
      </c>
      <c r="E56" t="inlineStr">
        <is>
          <t>Materials for deck</t>
        </is>
      </c>
      <c r="F56" s="21" t="n">
        <v>346.29</v>
      </c>
    </row>
    <row r="57">
      <c r="A57" s="20" t="n">
        <v>46266</v>
      </c>
      <c r="B57" t="inlineStr">
        <is>
          <t>J-2609</t>
        </is>
      </c>
      <c r="C57" t="inlineStr">
        <is>
          <t>Materials</t>
        </is>
      </c>
      <c r="D57" t="inlineStr">
        <is>
          <t>Timberline Supplies </t>
        </is>
      </c>
      <c r="E57" t="inlineStr">
        <is>
          <t>Materials for built-in wardrobes</t>
        </is>
      </c>
      <c r="F57" s="21" t="n">
        <v>692.7</v>
      </c>
    </row>
    <row r="58">
      <c r="A58" s="20" t="n">
        <v>46267</v>
      </c>
      <c r="B58" t="inlineStr">
        <is>
          <t>J-2608</t>
        </is>
      </c>
      <c r="C58" t="inlineStr">
        <is>
          <t>Materials</t>
        </is>
      </c>
      <c r="D58" t="inlineStr">
        <is>
          <t>Timberline Supplies </t>
        </is>
      </c>
      <c r="E58" t="inlineStr">
        <is>
          <t>Materials for deck</t>
        </is>
      </c>
      <c r="F58" s="21" t="n">
        <v>1397.77</v>
      </c>
    </row>
    <row r="59">
      <c r="A59" s="20" t="n">
        <v>46269</v>
      </c>
      <c r="B59" t="inlineStr">
        <is>
          <t>J-2608</t>
        </is>
      </c>
      <c r="C59" t="inlineStr">
        <is>
          <t>Travel &amp; parking</t>
        </is>
      </c>
      <c r="D59" t="inlineStr">
        <is>
          <t>Parking / tolls</t>
        </is>
      </c>
      <c r="E59" t="inlineStr">
        <is>
          <t>Travel &amp; parking for deck</t>
        </is>
      </c>
      <c r="F59" s="21" t="n">
        <v>343.28</v>
      </c>
    </row>
    <row r="60">
      <c r="A60" s="20" t="n">
        <v>46269</v>
      </c>
      <c r="B60" t="inlineStr">
        <is>
          <t>J-2608</t>
        </is>
      </c>
      <c r="C60" t="inlineStr">
        <is>
          <t>Waste removal</t>
        </is>
      </c>
      <c r="D60" t="inlineStr">
        <is>
          <t>Skip-it Bins </t>
        </is>
      </c>
      <c r="E60" t="inlineStr">
        <is>
          <t>Waste removal for deck</t>
        </is>
      </c>
      <c r="F60" s="21" t="n">
        <v>298.94</v>
      </c>
    </row>
    <row r="61">
      <c r="A61" s="20" t="n">
        <v>46272</v>
      </c>
      <c r="B61" t="inlineStr">
        <is>
          <t>J-2608</t>
        </is>
      </c>
      <c r="C61" t="inlineStr">
        <is>
          <t>Materials</t>
        </is>
      </c>
      <c r="D61" t="inlineStr">
        <is>
          <t>Timberline Supplies </t>
        </is>
      </c>
      <c r="E61" t="inlineStr">
        <is>
          <t>Materials for deck</t>
        </is>
      </c>
      <c r="F61" s="21" t="n">
        <v>274.52</v>
      </c>
    </row>
    <row r="62">
      <c r="A62" s="20" t="n">
        <v>46272</v>
      </c>
      <c r="B62" t="inlineStr">
        <is>
          <t>J-2610</t>
        </is>
      </c>
      <c r="C62" t="inlineStr">
        <is>
          <t>Materials</t>
        </is>
      </c>
      <c r="D62" t="inlineStr">
        <is>
          <t>Timberline Supplies </t>
        </is>
      </c>
      <c r="E62" t="inlineStr">
        <is>
          <t>Materials for kitchen joinery</t>
        </is>
      </c>
      <c r="F62" s="21" t="n">
        <v>1426.82</v>
      </c>
    </row>
    <row r="63">
      <c r="A63" s="20" t="n">
        <v>46272</v>
      </c>
      <c r="B63" t="inlineStr">
        <is>
          <t>J-2610</t>
        </is>
      </c>
      <c r="C63" t="inlineStr">
        <is>
          <t>Materials</t>
        </is>
      </c>
      <c r="D63" t="inlineStr">
        <is>
          <t>Timberline Supplies </t>
        </is>
      </c>
      <c r="E63" t="inlineStr">
        <is>
          <t>Materials for kitchen joinery</t>
        </is>
      </c>
      <c r="F63" s="21" t="n">
        <v>1594.7</v>
      </c>
    </row>
    <row r="64">
      <c r="A64" s="20" t="n">
        <v>46272</v>
      </c>
      <c r="B64" t="inlineStr">
        <is>
          <t>J-2610</t>
        </is>
      </c>
      <c r="C64" t="inlineStr">
        <is>
          <t>Materials</t>
        </is>
      </c>
      <c r="D64" t="inlineStr">
        <is>
          <t>Bayside Board Co </t>
        </is>
      </c>
      <c r="E64" t="inlineStr">
        <is>
          <t>Materials for kitchen joinery</t>
        </is>
      </c>
      <c r="F64" s="21" t="n">
        <v>1444.07</v>
      </c>
    </row>
    <row r="65">
      <c r="A65" s="20" t="n">
        <v>46273</v>
      </c>
      <c r="B65" t="inlineStr">
        <is>
          <t>J-2608</t>
        </is>
      </c>
      <c r="C65" t="inlineStr">
        <is>
          <t>Subcontractor</t>
        </is>
      </c>
      <c r="D65" t="inlineStr">
        <is>
          <t>Spark Lane Electrical </t>
        </is>
      </c>
      <c r="E65" t="inlineStr">
        <is>
          <t>Subcontractor for deck</t>
        </is>
      </c>
      <c r="F65" s="21" t="n">
        <v>602.3099999999999</v>
      </c>
    </row>
    <row r="66">
      <c r="A66" s="20" t="n">
        <v>46275</v>
      </c>
      <c r="B66" t="inlineStr">
        <is>
          <t>J-2610</t>
        </is>
      </c>
      <c r="C66" t="inlineStr">
        <is>
          <t>Materials</t>
        </is>
      </c>
      <c r="D66" t="inlineStr">
        <is>
          <t>Hardwarehouse </t>
        </is>
      </c>
      <c r="E66" t="inlineStr">
        <is>
          <t>Materials for kitchen joinery</t>
        </is>
      </c>
      <c r="F66" s="21" t="n">
        <v>1408.56</v>
      </c>
    </row>
    <row r="67">
      <c r="A67" s="20" t="n">
        <v>46275</v>
      </c>
      <c r="B67" t="inlineStr">
        <is>
          <t>J-2610</t>
        </is>
      </c>
      <c r="C67" t="inlineStr">
        <is>
          <t>Materials</t>
        </is>
      </c>
      <c r="D67" t="inlineStr">
        <is>
          <t>Bayside Board Co </t>
        </is>
      </c>
      <c r="E67" t="inlineStr">
        <is>
          <t>Materials for kitchen joinery</t>
        </is>
      </c>
      <c r="F67" s="21" t="n">
        <v>138.33</v>
      </c>
    </row>
    <row r="68">
      <c r="A68" s="20" t="n">
        <v>46277</v>
      </c>
      <c r="B68" t="inlineStr">
        <is>
          <t>J-2610</t>
        </is>
      </c>
      <c r="C68" t="inlineStr">
        <is>
          <t>Materials</t>
        </is>
      </c>
      <c r="D68" t="inlineStr">
        <is>
          <t>Hardwarehouse </t>
        </is>
      </c>
      <c r="E68" t="inlineStr">
        <is>
          <t>Materials for kitchen joinery</t>
        </is>
      </c>
      <c r="F68" s="21" t="n">
        <v>311.52</v>
      </c>
    </row>
  </sheetData>
  <dataValidations count="2">
    <dataValidation sqref="B2:B500" showDropDown="0" showInputMessage="0" showErrorMessage="1" allowBlank="1" errorTitle="Pick from the list" error="Please choose a value from the drop-down." type="list">
      <formula1>=Jobs!$A$2:$A$200</formula1>
    </dataValidation>
    <dataValidation sqref="C2:C500" showDropDown="0" showInputMessage="0" showErrorMessage="1" allowBlank="1" errorTitle="Pick from the list" error="Please choose a value from the drop-down." type="list">
      <formula1>=Lists!$B$2:$B$6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95A5A6"/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6" customWidth="1" min="3" max="3"/>
    <col width="12" customWidth="1" min="4" max="4"/>
    <col width="20" customWidth="1" min="5" max="5"/>
    <col width="14" customWidth="1" min="6" max="6"/>
  </cols>
  <sheetData>
    <row r="1" ht="32" customHeight="1">
      <c r="A1" s="14" t="inlineStr">
        <is>
          <t>Status</t>
        </is>
      </c>
      <c r="B1" s="14" t="inlineStr">
        <is>
          <t>Cost category</t>
        </is>
      </c>
      <c r="C1" s="14" t="inlineStr">
        <is>
          <t>Staff</t>
        </is>
      </c>
      <c r="D1" s="14" t="inlineStr">
        <is>
          <t>Cost rate /hr</t>
        </is>
      </c>
      <c r="E1" s="14" t="inlineStr">
        <is>
          <t>Job type</t>
        </is>
      </c>
      <c r="F1" s="14" t="inlineStr">
        <is>
          <t>Budget labour rate /hr</t>
        </is>
      </c>
    </row>
    <row r="2">
      <c r="A2" t="inlineStr">
        <is>
          <t>Quoted</t>
        </is>
      </c>
      <c r="B2" t="inlineStr">
        <is>
          <t>Materials</t>
        </is>
      </c>
      <c r="C2" t="inlineStr">
        <is>
          <t>Sam R. (lead carpenter)</t>
        </is>
      </c>
      <c r="D2" t="n">
        <v>58</v>
      </c>
      <c r="E2" t="inlineStr">
        <is>
          <t>Deck</t>
        </is>
      </c>
      <c r="F2" t="n">
        <v>42</v>
      </c>
    </row>
    <row r="3">
      <c r="A3" t="inlineStr">
        <is>
          <t>Booked</t>
        </is>
      </c>
      <c r="B3" t="inlineStr">
        <is>
          <t>Subcontractor</t>
        </is>
      </c>
      <c r="C3" t="inlineStr">
        <is>
          <t>Ari K. (carpenter)</t>
        </is>
      </c>
      <c r="D3" t="n">
        <v>44</v>
      </c>
      <c r="E3" t="inlineStr">
        <is>
          <t>Pergola</t>
        </is>
      </c>
    </row>
    <row r="4">
      <c r="A4" t="inlineStr">
        <is>
          <t>In progress</t>
        </is>
      </c>
      <c r="B4" t="inlineStr">
        <is>
          <t>Equipment hire</t>
        </is>
      </c>
      <c r="C4" t="inlineStr">
        <is>
          <t>Jo P. (apprentice)</t>
        </is>
      </c>
      <c r="D4" t="n">
        <v>27</v>
      </c>
      <c r="E4" t="inlineStr">
        <is>
          <t>Kitchen joinery</t>
        </is>
      </c>
    </row>
    <row r="5">
      <c r="A5" t="inlineStr">
        <is>
          <t>Complete</t>
        </is>
      </c>
      <c r="B5" t="inlineStr">
        <is>
          <t>Travel &amp; parking</t>
        </is>
      </c>
      <c r="C5" t="inlineStr">
        <is>
          <t>Dev M. (labourer)</t>
        </is>
      </c>
      <c r="D5" t="n">
        <v>34</v>
      </c>
      <c r="E5" t="inlineStr">
        <is>
          <t>Built-in wardrobes</t>
        </is>
      </c>
    </row>
    <row r="6">
      <c r="A6" t="inlineStr">
        <is>
          <t>Invoiced</t>
        </is>
      </c>
      <c r="B6" t="inlineStr">
        <is>
          <t>Waste removal</t>
        </is>
      </c>
      <c r="E6" t="inlineStr">
        <is>
          <t>Fencing</t>
        </is>
      </c>
    </row>
    <row r="7">
      <c r="E7" t="inlineStr">
        <is>
          <t>Bathroom vanity</t>
        </is>
      </c>
    </row>
    <row r="8">
      <c r="E8" t="inlineStr">
        <is>
          <t>Repairs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27AE60"/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5" customWidth="1" min="1" max="1"/>
    <col width="66" customWidth="1" min="2" max="2"/>
    <col width="14" customWidth="1" min="3" max="3"/>
    <col width="14" customWidth="1" min="4" max="4"/>
    <col width="9" customWidth="1" min="5" max="5"/>
  </cols>
  <sheetData>
    <row r="1">
      <c r="A1" s="22" t="inlineStr">
        <is>
          <t>Data checks (live)</t>
        </is>
      </c>
    </row>
    <row r="3">
      <c r="A3" s="7" t="inlineStr">
        <is>
          <t>#</t>
        </is>
      </c>
      <c r="B3" s="7" t="inlineStr">
        <is>
          <t>Check</t>
        </is>
      </c>
      <c r="C3" s="7" t="inlineStr">
        <is>
          <t>Value A</t>
        </is>
      </c>
      <c r="D3" s="7" t="inlineStr">
        <is>
          <t>Value B</t>
        </is>
      </c>
      <c r="E3" s="7" t="inlineStr">
        <is>
          <t>Result</t>
        </is>
      </c>
    </row>
    <row r="4">
      <c r="A4" t="n">
        <v>1</v>
      </c>
      <c r="B4" t="inlineStr">
        <is>
          <t>Timesheet hours = hours on Jobs tab</t>
        </is>
      </c>
      <c r="C4">
        <f>SUM(Timesheet!D2:D2000)</f>
        <v>466</v>
      </c>
      <c r="D4">
        <f>SUM(Jobs!K2:K200)</f>
        <v>466</v>
      </c>
      <c r="E4" t="str">
        <f>IF(ROUND(C4-D4,2)=0,"PASS","FAIL")</f>
        <v>PASS</v>
      </c>
    </row>
    <row r="5">
      <c r="A5" t="n">
        <v>2</v>
      </c>
      <c r="B5" t="inlineStr">
        <is>
          <t>Timesheet labour cost = labour cost on Jobs tab</t>
        </is>
      </c>
      <c r="C5">
        <f>ROUND(SUM(Timesheet!F2:F2000),2)</f>
        <v>19458</v>
      </c>
      <c r="D5">
        <f>ROUND(SUM(Jobs!L2:L200),2)</f>
        <v>19458</v>
      </c>
      <c r="E5" t="str">
        <f>IF(ROUND(C5-D5,2)=0,"PASS","FAIL")</f>
        <v>PASS</v>
      </c>
    </row>
    <row r="6">
      <c r="A6" t="n">
        <v>3</v>
      </c>
      <c r="B6" t="inlineStr">
        <is>
          <t>Cost log total = materials &amp; other on Jobs tab</t>
        </is>
      </c>
      <c r="C6">
        <f>ROUND(SUM(Costs!F2:F2000),2)</f>
        <v>48217.5</v>
      </c>
      <c r="D6">
        <f>ROUND(SUM(Jobs!M2:M200),2)</f>
        <v>48217.5</v>
      </c>
      <c r="E6" t="str">
        <f>IF(ROUND(C6-D6,2)=0,"PASS","FAIL")</f>
        <v>PASS</v>
      </c>
    </row>
    <row r="7">
      <c r="A7" t="n">
        <v>4</v>
      </c>
      <c r="B7" t="inlineStr">
        <is>
          <t>Timesheet rows with an unknown Job ID</t>
        </is>
      </c>
      <c r="C7">
        <f>SUMPRODUCT((Timesheet!B2:B2000&lt;&gt;"")*(COUNTIF(Jobs!A2:A200,Timesheet!B2:B2000)=0))</f>
        <v>0</v>
      </c>
      <c r="D7">
        <f>0</f>
        <v>0</v>
      </c>
      <c r="E7" t="str">
        <f>IF(ROUND(C7-D7,2)=0,"PASS","FAIL")</f>
        <v>PASS</v>
      </c>
    </row>
    <row r="8">
      <c r="A8" t="n">
        <v>5</v>
      </c>
      <c r="B8" t="inlineStr">
        <is>
          <t>Cost rows with an unknown Job ID</t>
        </is>
      </c>
      <c r="C8">
        <f>SUMPRODUCT((Costs!B2:B2000&lt;&gt;"")*(COUNTIF(Jobs!A2:A200,Costs!B2:B2000)=0))</f>
        <v>0</v>
      </c>
      <c r="D8">
        <f>0</f>
        <v>0</v>
      </c>
      <c r="E8" t="str">
        <f>IF(ROUND(C8-D8,2)=0,"PASS","FAIL")</f>
        <v>PASS</v>
      </c>
    </row>
    <row r="9">
      <c r="A9" t="n">
        <v>6</v>
      </c>
      <c r="B9" t="inlineStr">
        <is>
          <t>Timesheet rows with no cost rate (unknown staff)</t>
        </is>
      </c>
      <c r="C9">
        <f>COUNTIFS(Timesheet!E2:E2000,0,Timesheet!A2:A2000,"&lt;&gt;")</f>
        <v>0</v>
      </c>
      <c r="D9">
        <f>0</f>
        <v>0</v>
      </c>
      <c r="E9" t="str">
        <f>IF(ROUND(C9-D9,2)=0,"PASS","FAIL")</f>
        <v>PASS</v>
      </c>
    </row>
    <row r="10">
      <c r="A10" t="n">
        <v>7</v>
      </c>
      <c r="B10" t="inlineStr">
        <is>
          <t>Dashboard category total = all job costs</t>
        </is>
      </c>
      <c r="C10">
        <f>ROUND(SUM(Dashboard!K9:K14),2)</f>
        <v>67675.5</v>
      </c>
      <c r="D10">
        <f>ROUND(SUM(Jobs!N2:N200),2)</f>
        <v>67675.5</v>
      </c>
      <c r="E10" t="str">
        <f>IF(ROUND(C10-D10,2)=0,"PASS","FAIL")</f>
        <v>PASS</v>
      </c>
    </row>
    <row r="11">
      <c r="A11" t="n">
        <v>8</v>
      </c>
      <c r="B11" t="inlineStr">
        <is>
          <t>Duplicate Job IDs</t>
        </is>
      </c>
      <c r="C11">
        <f>SUMPRODUCT((Jobs!A2:A200&lt;&gt;"")*(COUNTIF(Jobs!A2:A200,Jobs!A2:A200)&gt;1))</f>
        <v>0</v>
      </c>
      <c r="D11">
        <f>0</f>
        <v>0</v>
      </c>
      <c r="E11" t="str">
        <f>IF(ROUND(C11-D11,2)=0,"PASS","FAIL")</f>
        <v>PASS</v>
      </c>
    </row>
    <row r="13">
      <c r="B13" t="inlineStr">
        <is>
          <t>Checks passed</t>
        </is>
      </c>
      <c r="C13" t="str">
        <f>COUNTIF(E4:E11,"PASS")&amp;" of 8"</f>
        <v>8 of 8</v>
      </c>
    </row>
  </sheetData>
  <conditionalFormatting sqref="E4:E11">
    <cfRule type="cellIs" priority="1" operator="equal" dxfId="2">
      <formula>"PASS"</formula>
    </cfRule>
    <cfRule type="cellIs" priority="2" operator="equal" dxfId="0">
      <formula>"FAIL"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2" t="inlineStr">
        <is>
          <t>How to use this tracker (Sample project, placeholder data)</t>
        </is>
      </c>
    </row>
    <row r="2">
      <c r="A2" t="inlineStr"/>
    </row>
    <row r="3">
      <c r="A3" t="inlineStr">
        <is>
          <t>1. Add a job on the Jobs tab: type the client, pick a Job type and Status from the drop-downs, enter the quote and budget (yellow cells).</t>
        </is>
      </c>
    </row>
    <row r="4">
      <c r="A4" t="inlineStr">
        <is>
          <t>2. Log hours on the Timesheet tab: pick the Job ID and staff member from the drop-downs; the cost rate fills in from the Lists tab.</t>
        </is>
      </c>
    </row>
    <row r="5">
      <c r="A5" t="inlineStr">
        <is>
          <t>3. Log materials and other costs on the Costs tab: pick the Job ID and category from the drop-downs.</t>
        </is>
      </c>
    </row>
    <row r="6">
      <c r="A6" t="inlineStr">
        <is>
          <t>4. The Jobs tab and the Dashboard update straight away: actual cost, gross profit, margin %, budget used % and a flag.</t>
        </is>
      </c>
    </row>
    <row r="7">
      <c r="A7" t="inlineStr">
        <is>
          <t xml:space="preserve">   Flags: Over budget (actual cost above budget cost), At risk (90%+ of budget used on a job still running), On track.</t>
        </is>
      </c>
    </row>
    <row r="8">
      <c r="A8" t="inlineStr">
        <is>
          <t>5. Staff cost rates, categories, statuses and the budget labour rate live on the Lists tab.</t>
        </is>
      </c>
    </row>
    <row r="9">
      <c r="A9" t="inlineStr">
        <is>
          <t>6. The Checks tab confirms the timesheet and cost log tie back to the Jobs tab and that no row uses an unknown Job ID.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2026-10-27T01:27:18Z</dcterms:created>
  <dcterms:modified xmlns:dcterms="http://purl.org/dc/terms/" xmlns:xsi="http://www.w3.org/2001/XMLSchema-instance" xsi:type="dcterms:W3CDTF">2026-10-27T01:27:18Z</dcterms:modified>
</cp:coreProperties>
</file>