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P&amp;L" sheetId="4" state="visible" r:id="rId4"/>
    <sheet xmlns:r="http://schemas.openxmlformats.org/officeDocument/2006/relationships" name="Balance Sheet" sheetId="5" state="visible" r:id="rId5"/>
    <sheet xmlns:r="http://schemas.openxmlformats.org/officeDocument/2006/relationships" name="Cash Flow" sheetId="6" state="visible" r:id="rId6"/>
    <sheet xmlns:r="http://schemas.openxmlformats.org/officeDocument/2006/relationships" name="13-Week Cash" sheetId="7" state="visible" r:id="rId7"/>
    <sheet xmlns:r="http://schemas.openxmlformats.org/officeDocument/2006/relationships" name="Scenarios" sheetId="8" state="visible" r:id="rId8"/>
    <sheet xmlns:r="http://schemas.openxmlformats.org/officeDocument/2006/relationships" name="Check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"/>
    <numFmt numFmtId="165" formatCode="0.0%"/>
    <numFmt numFmtId="166" formatCode="#,##0;(#,##0);&quot;–&quot;"/>
    <numFmt numFmtId="167" formatCode="yyyy-mm-dd"/>
    <numFmt numFmtId="168" formatCode="mmm yy"/>
    <numFmt numFmtId="169" formatCode="d mmm"/>
  </numFmts>
  <fonts count="10">
    <font>
      <name val="Calibri"/>
      <family val="2"/>
      <color theme="1"/>
      <sz val="11"/>
      <scheme val="minor"/>
    </font>
    <font>
      <b val="1"/>
      <color rgb="000B2545"/>
      <sz val="15"/>
    </font>
    <font>
      <i val="1"/>
      <color rgb="005B6776"/>
    </font>
    <font>
      <b val="1"/>
    </font>
    <font>
      <b val="1"/>
      <color rgb="001A7F86"/>
    </font>
    <font>
      <b val="1"/>
      <color rgb="001F4FB4"/>
    </font>
    <font>
      <b val="1"/>
      <color rgb="00FFFFFF"/>
    </font>
    <font>
      <color rgb="001F4FB4"/>
    </font>
    <font>
      <color rgb="005B6776"/>
    </font>
    <font>
      <b val="1"/>
      <color rgb="001A7F86"/>
      <sz val="13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B2545"/>
      </patternFill>
    </fill>
  </fills>
  <borders count="3">
    <border>
      <left/>
      <right/>
      <top/>
      <bottom/>
      <diagonal/>
    </border>
    <border>
      <top style="thin">
        <color rgb="000B2545"/>
      </top>
    </border>
    <border>
      <top style="thin">
        <color rgb="000B2545"/>
      </top>
      <bottom style="double">
        <color rgb="000B2545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9" fillId="0" borderId="0" pivotButton="0" quotePrefix="0" xfId="0"/>
    <xf numFmtId="0" fontId="6" fillId="3" borderId="0" applyAlignment="1" pivotButton="0" quotePrefix="0" xfId="0">
      <alignment horizontal="center"/>
    </xf>
    <xf numFmtId="166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1" fontId="0" fillId="0" borderId="0" pivotButton="0" quotePrefix="0" xfId="0"/>
    <xf numFmtId="0" fontId="5" fillId="2" borderId="0" pivotButton="0" quotePrefix="0" xfId="0"/>
    <xf numFmtId="3" fontId="7" fillId="2" borderId="0" pivotButton="0" quotePrefix="0" xfId="0"/>
    <xf numFmtId="3" fontId="3" fillId="0" borderId="0" pivotButton="0" quotePrefix="0" xfId="0"/>
    <xf numFmtId="164" fontId="7" fillId="2" borderId="0" pivotButton="0" quotePrefix="0" xfId="0"/>
    <xf numFmtId="164" fontId="3" fillId="0" borderId="0" pivotButton="0" quotePrefix="0" xfId="0"/>
    <xf numFmtId="165" fontId="7" fillId="2" borderId="0" pivotButton="0" quotePrefix="0" xfId="0"/>
    <xf numFmtId="165" fontId="3" fillId="0" borderId="0" pivotButton="0" quotePrefix="0" xfId="0"/>
    <xf numFmtId="2" fontId="7" fillId="2" borderId="0" pivotButton="0" quotePrefix="0" xfId="0"/>
    <xf numFmtId="166" fontId="7" fillId="2" borderId="0" pivotButton="0" quotePrefix="0" xfId="0"/>
    <xf numFmtId="168" fontId="6" fillId="3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166" fontId="3" fillId="0" borderId="0" pivotButton="0" quotePrefix="0" xfId="0"/>
    <xf numFmtId="166" fontId="3" fillId="0" borderId="1" pivotButton="0" quotePrefix="0" xfId="0"/>
    <xf numFmtId="165" fontId="0" fillId="0" borderId="0" pivotButton="0" quotePrefix="0" xfId="0"/>
    <xf numFmtId="166" fontId="3" fillId="0" borderId="2" pivotButton="0" quotePrefix="0" xfId="0"/>
    <xf numFmtId="0" fontId="8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9E3E1"/>
        </patternFill>
      </fill>
    </dxf>
    <dxf>
      <fill>
        <patternFill patternType="solid">
          <fgColor rgb="00E1F2EA"/>
        </patternFill>
      </fill>
    </dxf>
    <dxf>
      <font>
        <b val="1"/>
        <color rgb="009B2C2C"/>
      </font>
    </dxf>
    <dxf>
      <font>
        <b val="1"/>
        <color rgb="009B2C2C"/>
      </font>
      <fill>
        <patternFill patternType="solid">
          <fgColor rgb="00F9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EBITDA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'Dashboard'!F6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'Dashboard'!$E$7:$E$30</f>
            </numRef>
          </cat>
          <val>
            <numRef>
              <f>'Dashboard'!$F$7:$F$30</f>
            </numRef>
          </val>
        </ser>
        <ser>
          <idx val="1"/>
          <order val="1"/>
          <tx>
            <strRef>
              <f>'Dashboard'!G6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'Dashboard'!$E$7:$E$30</f>
            </numRef>
          </cat>
          <val>
            <numRef>
              <f>'Dashboard'!$G$7:$G$30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13-week closing cash vs buffer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'Dashboard'!K6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'Dashboard'!$J$7:$J$19</f>
            </numRef>
          </cat>
          <val>
            <numRef>
              <f>'Dashboard'!$K$7:$K$19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'Dashboard'!L6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'Dashboard'!$L$7:$L$19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19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2545"/>
    <outlinePr summaryBelow="1" summaryRight="1"/>
    <pageSetUpPr/>
  </sheetPr>
  <dimension ref="B2:C17"/>
  <sheetViews>
    <sheetView showGridLines="0" workbookViewId="0">
      <selection activeCell="A1" sqref="A1"/>
    </sheetView>
  </sheetViews>
  <sheetFormatPr baseColWidth="8" defaultRowHeight="15"/>
  <cols>
    <col width="16" customWidth="1" min="2" max="2"/>
    <col width="110" customWidth="1" min="3" max="3"/>
  </cols>
  <sheetData>
    <row r="2">
      <c r="B2" s="1" t="inlineStr">
        <is>
          <t>Sample Coffee Roasters: 3-statement model + 13-week cash flow</t>
        </is>
      </c>
    </row>
    <row r="3">
      <c r="B3" s="2" t="inlineStr">
        <is>
          <t>FY27–FY28 monthly forecast, AUD  ·  Sample project, placeholder data.</t>
        </is>
      </c>
    </row>
    <row r="5">
      <c r="B5" s="3" t="inlineStr">
        <is>
          <t>Purpose</t>
        </is>
      </c>
      <c r="C5" s="4" t="inlineStr">
        <is>
          <t>Plan two financial years and the next 13 weeks of cash for a wholesale + online coffee roaster deciding when to buy a new roaster.</t>
        </is>
      </c>
    </row>
    <row r="6">
      <c r="B6" s="3" t="inlineStr">
        <is>
          <t>How to use</t>
        </is>
      </c>
      <c r="C6" s="4" t="inlineStr">
        <is>
          <t>Pick a scenario on Assumptions!C4 (Base / Upside / Downside). Every statement, the 13-week forecast and the dashboard update.</t>
        </is>
      </c>
    </row>
    <row r="7">
      <c r="B7" s="3" t="inlineStr">
        <is>
          <t>Colour code</t>
        </is>
      </c>
      <c r="C7" s="4" t="inlineStr">
        <is>
          <t>Blue text on cream = input. Black = formula. Do not type over black cells.</t>
        </is>
      </c>
    </row>
    <row r="8">
      <c r="B8" s="3" t="inlineStr">
        <is>
          <t>Assumptions</t>
        </is>
      </c>
      <c r="C8" s="4" t="inlineStr">
        <is>
          <t>All drivers per scenario, seasonality and the opening balance sheet at 30 Jun 2026.</t>
        </is>
      </c>
    </row>
    <row r="9">
      <c r="B9" s="3" t="inlineStr">
        <is>
          <t>P&amp;L</t>
        </is>
      </c>
      <c r="C9" s="4" t="inlineStr">
        <is>
          <t>Volumes, revenue, margins, overheads, EBITDA, depreciation, interest, tax and net profit by month, with FY totals.</t>
        </is>
      </c>
    </row>
    <row r="10">
      <c r="B10" s="3" t="inlineStr">
        <is>
          <t>Balance Sheet</t>
        </is>
      </c>
      <c r="C10" s="4" t="inlineStr">
        <is>
          <t>Working capital from debtor, inventory and creditor days; equipment, loan and equity roll-forwards.</t>
        </is>
      </c>
    </row>
    <row r="11">
      <c r="B11" s="3" t="inlineStr">
        <is>
          <t>Cash Flow</t>
        </is>
      </c>
      <c r="C11" s="4" t="inlineStr">
        <is>
          <t>Indirect method, reconciles net profit to the change in cash. Closing cash feeds the balance sheet.</t>
        </is>
      </c>
    </row>
    <row r="12">
      <c r="B12" s="3" t="inlineStr">
        <is>
          <t>13-Week Cash</t>
        </is>
      </c>
      <c r="C12" s="4" t="inlineStr">
        <is>
          <t>Direct receipts and payments by week from Mon 6 Jul 2026: collection lags, fortnightly payroll, rent, loan, tax, capex. Flags weeks below the cash buffer.</t>
        </is>
      </c>
    </row>
    <row r="13">
      <c r="B13" s="3" t="inlineStr">
        <is>
          <t>Dashboard</t>
        </is>
      </c>
      <c r="C13" s="4" t="inlineStr">
        <is>
          <t>Headline numbers and charts for the selected scenario.</t>
        </is>
      </c>
    </row>
    <row r="14">
      <c r="B14" s="3" t="inlineStr">
        <is>
          <t>Scenarios</t>
        </is>
      </c>
      <c r="C14" s="4" t="inlineStr">
        <is>
          <t>Side-by-side snapshot of all three scenarios (values written by the build script, re-checked by verify_model.py).</t>
        </is>
      </c>
    </row>
    <row r="15">
      <c r="B15" s="3" t="inlineStr">
        <is>
          <t>Checks</t>
        </is>
      </c>
      <c r="C15" s="4" t="inlineStr">
        <is>
          <t>10 live integrity checks. All must read PASS.</t>
        </is>
      </c>
    </row>
    <row r="17">
      <c r="B17" s="3" t="inlineStr">
        <is>
          <t>Status</t>
        </is>
      </c>
      <c r="C17" s="5" t="str">
        <f>Checks!C16</f>
        <v>ALL 10 CHECKS PASS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2545"/>
    <outlinePr summaryBelow="1" summaryRight="1"/>
    <pageSetUpPr/>
  </sheetPr>
  <dimension ref="B2:L30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14" customWidth="1" min="3" max="3"/>
  </cols>
  <sheetData>
    <row r="2">
      <c r="B2" s="1" t="inlineStr">
        <is>
          <t>Dashboard</t>
        </is>
      </c>
    </row>
    <row r="3">
      <c r="B3" s="2" t="inlineStr">
        <is>
          <t>Selected scenario  ·  Sample project, placeholder data.</t>
        </is>
      </c>
    </row>
    <row r="5">
      <c r="B5" t="inlineStr">
        <is>
          <t>Scenario</t>
        </is>
      </c>
      <c r="C5" s="6" t="str">
        <f>Assumptions!C4</f>
        <v>Base</v>
      </c>
    </row>
    <row r="6">
      <c r="E6" s="7" t="inlineStr">
        <is>
          <t>Month</t>
        </is>
      </c>
      <c r="F6" s="7" t="inlineStr">
        <is>
          <t>Revenue</t>
        </is>
      </c>
      <c r="G6" s="7" t="inlineStr">
        <is>
          <t>EBITDA</t>
        </is>
      </c>
      <c r="H6" s="7" t="inlineStr">
        <is>
          <t>Closing cash</t>
        </is>
      </c>
      <c r="J6" s="7" t="inlineStr">
        <is>
          <t>Week</t>
        </is>
      </c>
      <c r="K6" s="7" t="inlineStr">
        <is>
          <t>Closing cash</t>
        </is>
      </c>
      <c r="L6" s="7" t="inlineStr">
        <is>
          <t>Buffer</t>
        </is>
      </c>
    </row>
    <row r="7">
      <c r="B7" s="3" t="inlineStr">
        <is>
          <t>FY27 revenue</t>
        </is>
      </c>
      <c r="C7" s="8">
        <f>'P&amp;L'!AB15</f>
        <v>1419939.01557568</v>
      </c>
      <c r="E7" s="9">
        <f>'P&amp;L'!D5</f>
        <v>46204.0</v>
      </c>
      <c r="F7" s="8">
        <f>'P&amp;L'!D15</f>
        <v>102708</v>
      </c>
      <c r="G7" s="8">
        <f>'P&amp;L'!D25</f>
        <v>4490.96</v>
      </c>
      <c r="H7" s="8">
        <f>'Balance Sheet'!D7</f>
        <v>54139.8</v>
      </c>
      <c r="J7" s="10">
        <f>'13-Week Cash'!D6</f>
        <v>46209.0</v>
      </c>
      <c r="K7">
        <f>'13-Week Cash'!D34</f>
        <v>62875.92</v>
      </c>
      <c r="L7">
        <f>'13-Week Cash'!D35</f>
        <v>25000</v>
      </c>
    </row>
    <row r="8">
      <c r="B8" s="3" t="inlineStr">
        <is>
          <t>FY28 revenue</t>
        </is>
      </c>
      <c r="C8" s="8">
        <f>'P&amp;L'!AC15</f>
        <v>1924485.79247411</v>
      </c>
      <c r="E8" s="9">
        <f>'P&amp;L'!E5</f>
        <v>46235.0</v>
      </c>
      <c r="F8" s="8">
        <f>'P&amp;L'!E15</f>
        <v>103511.52</v>
      </c>
      <c r="G8" s="8">
        <f>'P&amp;L'!E25</f>
        <v>4990.69759999999</v>
      </c>
      <c r="H8" s="8">
        <f>'Balance Sheet'!E7</f>
        <v>53585.2875333333</v>
      </c>
      <c r="J8" s="10">
        <f>'13-Week Cash'!E6</f>
        <v>46216.0</v>
      </c>
      <c r="K8">
        <f>'13-Week Cash'!E34</f>
        <v>54628.7630769231</v>
      </c>
      <c r="L8">
        <f>'13-Week Cash'!E35</f>
        <v>25000</v>
      </c>
    </row>
    <row r="9">
      <c r="B9" s="3" t="inlineStr">
        <is>
          <t>FY27 EBITDA</t>
        </is>
      </c>
      <c r="C9" s="8">
        <f>'P&amp;L'!AB25</f>
        <v>164930.255855111</v>
      </c>
      <c r="E9" s="9">
        <f>'P&amp;L'!F5</f>
        <v>46266.0</v>
      </c>
      <c r="F9" s="8">
        <f>'P&amp;L'!F15</f>
        <v>108557.28</v>
      </c>
      <c r="G9" s="8">
        <f>'P&amp;L'!F25</f>
        <v>7960.43839999999</v>
      </c>
      <c r="H9" s="8">
        <f>'Balance Sheet'!F7</f>
        <v>18369.4419166666</v>
      </c>
      <c r="J9" s="10">
        <f>'13-Week Cash'!F6</f>
        <v>46223.0</v>
      </c>
      <c r="K9">
        <f>'13-Week Cash'!F34</f>
        <v>65304.6830769231</v>
      </c>
      <c r="L9">
        <f>'13-Week Cash'!F35</f>
        <v>25000</v>
      </c>
    </row>
    <row r="10">
      <c r="B10" s="3" t="inlineStr">
        <is>
          <t>FY28 EBITDA</t>
        </is>
      </c>
      <c r="C10" s="8">
        <f>'P&amp;L'!AC25</f>
        <v>447113.703851278</v>
      </c>
      <c r="E10" s="9">
        <f>'P&amp;L'!G5</f>
        <v>46296.0</v>
      </c>
      <c r="F10" s="8">
        <f>'P&amp;L'!G15</f>
        <v>114853.431168</v>
      </c>
      <c r="G10" s="8">
        <f>'P&amp;L'!G25</f>
        <v>11659.37131904</v>
      </c>
      <c r="H10" s="8">
        <f>'Balance Sheet'!G7</f>
        <v>19299.8784371467</v>
      </c>
      <c r="J10" s="10">
        <f>'13-Week Cash'!G6</f>
        <v>46230.0</v>
      </c>
      <c r="K10">
        <f>'13-Week Cash'!G34</f>
        <v>53707.5261538462</v>
      </c>
      <c r="L10">
        <f>'13-Week Cash'!G35</f>
        <v>25000</v>
      </c>
    </row>
    <row r="11">
      <c r="B11" s="3" t="inlineStr">
        <is>
          <t>FY27 net profit</t>
        </is>
      </c>
      <c r="C11" s="8">
        <f>'P&amp;L'!AB33</f>
        <v>85649.0534984759</v>
      </c>
      <c r="E11" s="9">
        <f>'P&amp;L'!H5</f>
        <v>46327.0</v>
      </c>
      <c r="F11" s="8">
        <f>'P&amp;L'!H15</f>
        <v>120200.9227776</v>
      </c>
      <c r="G11" s="8">
        <f>'P&amp;L'!H25</f>
        <v>14805.651072128</v>
      </c>
      <c r="H11" s="8">
        <f>'Balance Sheet'!H7</f>
        <v>23501.8596296922</v>
      </c>
      <c r="J11" s="10">
        <f>'13-Week Cash'!H6</f>
        <v>46237.0</v>
      </c>
      <c r="K11">
        <f>'13-Week Cash'!H34</f>
        <v>56475.2690338462</v>
      </c>
      <c r="L11">
        <f>'13-Week Cash'!H35</f>
        <v>25000</v>
      </c>
    </row>
    <row r="12">
      <c r="B12" s="3" t="inlineStr">
        <is>
          <t>FY28 net profit</t>
        </is>
      </c>
      <c r="C12" s="8">
        <f>'P&amp;L'!AC33</f>
        <v>295974.072531316</v>
      </c>
      <c r="E12" s="9">
        <f>'P&amp;L'!I5</f>
        <v>46357.0</v>
      </c>
      <c r="F12" s="8">
        <f>'P&amp;L'!I15</f>
        <v>131560.005582029</v>
      </c>
      <c r="G12" s="8">
        <f>'P&amp;L'!I25</f>
        <v>21459.4173584753</v>
      </c>
      <c r="H12" s="8">
        <f>'Balance Sheet'!I7</f>
        <v>20229.899917192</v>
      </c>
      <c r="J12" s="10">
        <f>'13-Week Cash'!I6</f>
        <v>46244.0</v>
      </c>
      <c r="K12">
        <f>'13-Week Cash'!I34</f>
        <v>49430.1749907692</v>
      </c>
      <c r="L12">
        <f>'13-Week Cash'!I35</f>
        <v>25000</v>
      </c>
    </row>
    <row r="13">
      <c r="B13" s="3" t="inlineStr">
        <is>
          <t>Cash 30 Jun 2027</t>
        </is>
      </c>
      <c r="C13" s="8">
        <f>'Balance Sheet'!O7</f>
        <v>55449.7257740605</v>
      </c>
      <c r="E13" s="9">
        <f>'P&amp;L'!J5</f>
        <v>46388.0</v>
      </c>
      <c r="F13" s="8">
        <f>'P&amp;L'!J15</f>
        <v>106013.79053074</v>
      </c>
      <c r="G13" s="8">
        <f>'P&amp;L'!J25</f>
        <v>6575.45298129231</v>
      </c>
      <c r="H13" s="8">
        <f>'Balance Sheet'!J7</f>
        <v>36209.5081413942</v>
      </c>
      <c r="J13" s="10">
        <f>'13-Week Cash'!J6</f>
        <v>46251.0</v>
      </c>
      <c r="K13">
        <f>'13-Week Cash'!J34</f>
        <v>61308.1578707692</v>
      </c>
      <c r="L13">
        <f>'13-Week Cash'!J35</f>
        <v>25000</v>
      </c>
    </row>
    <row r="14">
      <c r="B14" s="3" t="inlineStr">
        <is>
          <t>Cash 30 Jun 2028</t>
        </is>
      </c>
      <c r="C14" s="8">
        <f>'Balance Sheet'!AA7</f>
        <v>288188.021376908</v>
      </c>
      <c r="E14" s="9">
        <f>'P&amp;L'!K5</f>
        <v>46419.0</v>
      </c>
      <c r="F14" s="8">
        <f>'P&amp;L'!K15</f>
        <v>117320.459800326</v>
      </c>
      <c r="G14" s="8">
        <f>'P&amp;L'!K25</f>
        <v>13195.899694173</v>
      </c>
      <c r="H14" s="8">
        <f>'Balance Sheet'!K7</f>
        <v>35824.509088224</v>
      </c>
      <c r="J14" s="10">
        <f>'13-Week Cash'!K6</f>
        <v>46258.0</v>
      </c>
      <c r="K14">
        <f>'13-Week Cash'!K34</f>
        <v>54263.0638276923</v>
      </c>
      <c r="L14">
        <f>'13-Week Cash'!K35</f>
        <v>25000</v>
      </c>
    </row>
    <row r="15">
      <c r="B15" s="3" t="inlineStr">
        <is>
          <t>Lowest month-end cash</t>
        </is>
      </c>
      <c r="C15" s="8">
        <f>MIN('Balance Sheet'!D7:AA7)</f>
        <v>18369.4419166666</v>
      </c>
      <c r="E15" s="9">
        <f>'P&amp;L'!L5</f>
        <v>46447.0</v>
      </c>
      <c r="F15" s="8">
        <f>'P&amp;L'!L15</f>
        <v>126539.685259298</v>
      </c>
      <c r="G15" s="8">
        <f>'P&amp;L'!L25</f>
        <v>18599.1931874279</v>
      </c>
      <c r="H15" s="8">
        <f>'Balance Sheet'!L7</f>
        <v>31704.958547893</v>
      </c>
      <c r="J15" s="10">
        <f>'13-Week Cash'!L6</f>
        <v>46265.0</v>
      </c>
      <c r="K15">
        <f>'13-Week Cash'!L34</f>
        <v>61688.9116810256</v>
      </c>
      <c r="L15">
        <f>'13-Week Cash'!L35</f>
        <v>25000</v>
      </c>
    </row>
    <row r="16">
      <c r="B16" s="3" t="inlineStr">
        <is>
          <t>Lowest 13-week cash</t>
        </is>
      </c>
      <c r="C16" s="8">
        <f>MIN('13-Week Cash'!D34:P34)</f>
        <v>20567.6883146154</v>
      </c>
      <c r="E16" s="9">
        <f>'P&amp;L'!M5</f>
        <v>46478.0</v>
      </c>
      <c r="F16" s="8">
        <f>'P&amp;L'!M15</f>
        <v>129603.998964484</v>
      </c>
      <c r="G16" s="8">
        <f>'P&amp;L'!M25</f>
        <v>20407.9594511764</v>
      </c>
      <c r="H16" s="8">
        <f>'Balance Sheet'!M7</f>
        <v>41550.3271461403</v>
      </c>
      <c r="J16" s="10">
        <f>'13-Week Cash'!M6</f>
        <v>46272.0</v>
      </c>
      <c r="K16">
        <f>'13-Week Cash'!M34</f>
        <v>20567.6883146154</v>
      </c>
      <c r="L16">
        <f>'13-Week Cash'!M35</f>
        <v>25000</v>
      </c>
    </row>
    <row r="17">
      <c r="B17" s="3" t="inlineStr">
        <is>
          <t>Weeks below buffer</t>
        </is>
      </c>
      <c r="C17" s="11">
        <f>COUNTIF('13-Week Cash'!D37:P37,"Below buffer")</f>
        <v>1</v>
      </c>
      <c r="E17" s="9">
        <f>'P&amp;L'!N5</f>
        <v>46508.0</v>
      </c>
      <c r="F17" s="8">
        <f>'P&amp;L'!N15</f>
        <v>128707.90217546</v>
      </c>
      <c r="G17" s="8">
        <f>'P&amp;L'!N25</f>
        <v>19901.632552994</v>
      </c>
      <c r="H17" s="8">
        <f>'Balance Sheet'!N7</f>
        <v>53364.5123142837</v>
      </c>
      <c r="J17" s="10">
        <f>'13-Week Cash'!N6</f>
        <v>46279.0</v>
      </c>
      <c r="K17">
        <f>'13-Week Cash'!N34</f>
        <v>33109.1433546154</v>
      </c>
      <c r="L17">
        <f>'13-Week Cash'!N35</f>
        <v>25000</v>
      </c>
    </row>
    <row r="18">
      <c r="E18" s="9">
        <f>'P&amp;L'!O5</f>
        <v>46539.0</v>
      </c>
      <c r="F18" s="8">
        <f>'P&amp;L'!O15</f>
        <v>130362.019317743</v>
      </c>
      <c r="G18" s="8">
        <f>'P&amp;L'!O25</f>
        <v>20883.5822384038</v>
      </c>
      <c r="H18" s="8">
        <f>'Balance Sheet'!O7</f>
        <v>55449.7257740605</v>
      </c>
      <c r="J18" s="10">
        <f>'13-Week Cash'!O6</f>
        <v>46286.0</v>
      </c>
      <c r="K18">
        <f>'13-Week Cash'!O34</f>
        <v>26727.5214715384</v>
      </c>
      <c r="L18">
        <f>'13-Week Cash'!O35</f>
        <v>25000</v>
      </c>
    </row>
    <row r="19">
      <c r="E19" s="9">
        <f>'P&amp;L'!P5</f>
        <v>46569.0</v>
      </c>
      <c r="F19" s="8">
        <f>'P&amp;L'!P15</f>
        <v>143087.646890855</v>
      </c>
      <c r="G19" s="8">
        <f>'P&amp;L'!P25</f>
        <v>27105.4892521532</v>
      </c>
      <c r="H19" s="8">
        <f>'Balance Sheet'!P7</f>
        <v>64398.9313029932</v>
      </c>
      <c r="J19" s="10">
        <f>'13-Week Cash'!P6</f>
        <v>46293.0</v>
      </c>
      <c r="K19">
        <f>'13-Week Cash'!P34</f>
        <v>26954.3931782051</v>
      </c>
      <c r="L19">
        <f>'13-Week Cash'!P35</f>
        <v>25000</v>
      </c>
    </row>
    <row r="20">
      <c r="E20" s="9">
        <f>'P&amp;L'!Q5</f>
        <v>46600.0</v>
      </c>
      <c r="F20" s="8">
        <f>'P&amp;L'!Q15</f>
        <v>143403.243816099</v>
      </c>
      <c r="G20" s="8">
        <f>'P&amp;L'!Q25</f>
        <v>27303.1908865323</v>
      </c>
      <c r="H20" s="8">
        <f>'Balance Sheet'!Q7</f>
        <v>81132.9392130053</v>
      </c>
    </row>
    <row r="21">
      <c r="E21" s="9">
        <f>'P&amp;L'!R5</f>
        <v>46631.0</v>
      </c>
      <c r="F21" s="8">
        <f>'P&amp;L'!R15</f>
        <v>149594.607041246</v>
      </c>
      <c r="G21" s="8">
        <f>'P&amp;L'!R25</f>
        <v>30934.6189318601</v>
      </c>
      <c r="H21" s="8">
        <f>'Balance Sheet'!R7</f>
        <v>88149.2886587669</v>
      </c>
    </row>
    <row r="22">
      <c r="E22" s="9">
        <f>'P&amp;L'!S5</f>
        <v>46661.0</v>
      </c>
      <c r="F22" s="8">
        <f>'P&amp;L'!S15</f>
        <v>157468.869509533</v>
      </c>
      <c r="G22" s="8">
        <f>'P&amp;L'!S25</f>
        <v>35549.2893680523</v>
      </c>
      <c r="H22" s="8">
        <f>'Balance Sheet'!S7</f>
        <v>106652.765028055</v>
      </c>
    </row>
    <row r="23">
      <c r="E23" s="9">
        <f>'P&amp;L'!T5</f>
        <v>46692.0</v>
      </c>
      <c r="F23" s="8">
        <f>'P&amp;L'!T15</f>
        <v>164003.356370398</v>
      </c>
      <c r="G23" s="8">
        <f>'P&amp;L'!T25</f>
        <v>39379.6927763107</v>
      </c>
      <c r="H23" s="8">
        <f>'Balance Sheet'!T7</f>
        <v>128843.356139815</v>
      </c>
    </row>
    <row r="24">
      <c r="E24" s="9">
        <f>'P&amp;L'!U5</f>
        <v>46722.0</v>
      </c>
      <c r="F24" s="8">
        <f>'P&amp;L'!U15</f>
        <v>178672.370450993</v>
      </c>
      <c r="G24" s="8">
        <f>'P&amp;L'!U25</f>
        <v>47966.511347026</v>
      </c>
      <c r="H24" s="8">
        <f>'Balance Sheet'!U7</f>
        <v>143677.561552872</v>
      </c>
    </row>
    <row r="25">
      <c r="E25" s="9">
        <f>'P&amp;L'!V5</f>
        <v>46753.0</v>
      </c>
      <c r="F25" s="8">
        <f>'P&amp;L'!V15</f>
        <v>143341.937228295</v>
      </c>
      <c r="G25" s="8">
        <f>'P&amp;L'!V25</f>
        <v>27308.7424749966</v>
      </c>
      <c r="H25" s="8">
        <f>'Balance Sheet'!V7</f>
        <v>181685.90682278</v>
      </c>
    </row>
    <row r="26">
      <c r="E26" s="9">
        <f>'P&amp;L'!W5</f>
        <v>46784.0</v>
      </c>
      <c r="F26" s="8">
        <f>'P&amp;L'!W15</f>
        <v>157959.492436157</v>
      </c>
      <c r="G26" s="8">
        <f>'P&amp;L'!W25</f>
        <v>35862.5812311632</v>
      </c>
      <c r="H26" s="8">
        <f>'Balance Sheet'!W7</f>
        <v>196528.409883667</v>
      </c>
    </row>
    <row r="27">
      <c r="E27" s="9">
        <f>'P&amp;L'!X5</f>
        <v>46813.0</v>
      </c>
      <c r="F27" s="8">
        <f>'P&amp;L'!X15</f>
        <v>169683.155331453</v>
      </c>
      <c r="G27" s="8">
        <f>'P&amp;L'!X25</f>
        <v>42722.87192567</v>
      </c>
      <c r="H27" s="8">
        <f>'Balance Sheet'!X7</f>
        <v>209255.017933155</v>
      </c>
    </row>
    <row r="28">
      <c r="E28" s="9">
        <f>'P&amp;L'!Y5</f>
        <v>46844.0</v>
      </c>
      <c r="F28" s="8">
        <f>'P&amp;L'!Y15</f>
        <v>173119.089638082</v>
      </c>
      <c r="G28" s="8">
        <f>'P&amp;L'!Y25</f>
        <v>44734.1375081834</v>
      </c>
      <c r="H28" s="8">
        <f>'Balance Sheet'!Y7</f>
        <v>237434.388401604</v>
      </c>
    </row>
    <row r="29">
      <c r="E29" s="9">
        <f>'P&amp;L'!Z5</f>
        <v>46874.0</v>
      </c>
      <c r="F29" s="8">
        <f>'P&amp;L'!Z15</f>
        <v>171284.027287918</v>
      </c>
      <c r="G29" s="8">
        <f>'P&amp;L'!Z25</f>
        <v>43660.7376505967</v>
      </c>
      <c r="H29" s="8">
        <f>'Balance Sheet'!Z7</f>
        <v>267965.056978492</v>
      </c>
    </row>
    <row r="30">
      <c r="E30" s="9">
        <f>'P&amp;L'!AA5</f>
        <v>46905.0</v>
      </c>
      <c r="F30" s="8">
        <f>'P&amp;L'!AA15</f>
        <v>172867.996473082</v>
      </c>
      <c r="G30" s="8">
        <f>'P&amp;L'!AA25</f>
        <v>44585.8404987335</v>
      </c>
      <c r="H30" s="8">
        <f>'Balance Sheet'!AA7</f>
        <v>288188.021376908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A7F86"/>
    <outlinePr summaryBelow="1" summaryRight="1"/>
    <pageSetUpPr/>
  </sheetPr>
  <dimension ref="B2:O54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2" max="2"/>
    <col width="9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2">
      <c r="B2" s="1" t="inlineStr">
        <is>
          <t>Assumptions</t>
        </is>
      </c>
    </row>
    <row r="3">
      <c r="B3" s="2" t="inlineStr">
        <is>
          <t>Change inputs here only  ·  Sample project, placeholder data.</t>
        </is>
      </c>
    </row>
    <row r="4">
      <c r="B4" s="3" t="inlineStr">
        <is>
          <t>Scenario</t>
        </is>
      </c>
      <c r="C4" s="12" t="inlineStr">
        <is>
          <t>Base</t>
        </is>
      </c>
      <c r="D4">
        <f>MATCH(C4,$D$7:$F$7,0)</f>
        <v>1</v>
      </c>
      <c r="E4" s="2" t="inlineStr">
        <is>
          <t>← pick Base, Upside or Downside</t>
        </is>
      </c>
    </row>
    <row r="7">
      <c r="B7" s="7" t="inlineStr">
        <is>
          <t>Driver</t>
        </is>
      </c>
      <c r="C7" s="7" t="inlineStr">
        <is>
          <t>Unit</t>
        </is>
      </c>
      <c r="D7" s="7" t="inlineStr">
        <is>
          <t>Base</t>
        </is>
      </c>
      <c r="E7" s="7" t="inlineStr">
        <is>
          <t>Upside</t>
        </is>
      </c>
      <c r="F7" s="7" t="inlineStr">
        <is>
          <t>Downside</t>
        </is>
      </c>
      <c r="G7" s="7" t="inlineStr">
        <is>
          <t>Live</t>
        </is>
      </c>
    </row>
    <row r="8">
      <c r="B8" t="inlineStr">
        <is>
          <t>Wholesale cafe accounts at 1 Jul 2026</t>
        </is>
      </c>
      <c r="C8" t="inlineStr">
        <is>
          <t>accounts</t>
        </is>
      </c>
      <c r="D8" s="13" t="n">
        <v>42</v>
      </c>
      <c r="E8" s="13" t="n">
        <v>42</v>
      </c>
      <c r="F8" s="13" t="n">
        <v>42</v>
      </c>
      <c r="G8" s="14">
        <f>INDEX(D8:F8,$D$4)</f>
        <v>42</v>
      </c>
    </row>
    <row r="9">
      <c r="B9" t="inlineStr">
        <is>
          <t>Net new wholesale accounts per month</t>
        </is>
      </c>
      <c r="C9" t="inlineStr">
        <is>
          <t>accounts</t>
        </is>
      </c>
      <c r="D9" s="15" t="n">
        <v>1.5</v>
      </c>
      <c r="E9" s="15" t="n">
        <v>2</v>
      </c>
      <c r="F9" s="15" t="n">
        <v>0.5</v>
      </c>
      <c r="G9" s="16">
        <f>INDEX(D9:F9,$D$4)</f>
        <v>1.5</v>
      </c>
    </row>
    <row r="10">
      <c r="B10" t="inlineStr">
        <is>
          <t>Coffee per account per month</t>
        </is>
      </c>
      <c r="C10" t="inlineStr">
        <is>
          <t>kg</t>
        </is>
      </c>
      <c r="D10" s="13" t="n">
        <v>38</v>
      </c>
      <c r="E10" s="13" t="n">
        <v>40</v>
      </c>
      <c r="F10" s="13" t="n">
        <v>36</v>
      </c>
      <c r="G10" s="14">
        <f>INDEX(D10:F10,$D$4)</f>
        <v>38</v>
      </c>
    </row>
    <row r="11">
      <c r="B11" t="inlineStr">
        <is>
          <t>Wholesale price per kg</t>
        </is>
      </c>
      <c r="C11" t="inlineStr">
        <is>
          <t>$</t>
        </is>
      </c>
      <c r="D11" s="13" t="n">
        <v>36</v>
      </c>
      <c r="E11" s="13" t="n">
        <v>37</v>
      </c>
      <c r="F11" s="13" t="n">
        <v>35</v>
      </c>
      <c r="G11" s="14">
        <f>INDEX(D11:F11,$D$4)</f>
        <v>36</v>
      </c>
    </row>
    <row r="12">
      <c r="B12" t="inlineStr">
        <is>
          <t>Online orders per month, Jul 2026</t>
        </is>
      </c>
      <c r="C12" t="inlineStr">
        <is>
          <t>orders</t>
        </is>
      </c>
      <c r="D12" s="13" t="n">
        <v>900</v>
      </c>
      <c r="E12" s="13" t="n">
        <v>900</v>
      </c>
      <c r="F12" s="13" t="n">
        <v>900</v>
      </c>
      <c r="G12" s="14">
        <f>INDEX(D12:F12,$D$4)</f>
        <v>900</v>
      </c>
    </row>
    <row r="13">
      <c r="B13" t="inlineStr">
        <is>
          <t>Online order growth per month</t>
        </is>
      </c>
      <c r="C13" t="inlineStr">
        <is>
          <t>%</t>
        </is>
      </c>
      <c r="D13" s="17" t="n">
        <v>0.02</v>
      </c>
      <c r="E13" s="17" t="n">
        <v>0.03</v>
      </c>
      <c r="F13" s="17" t="n">
        <v>0</v>
      </c>
      <c r="G13" s="18">
        <f>INDEX(D13:F13,$D$4)</f>
        <v>0.02</v>
      </c>
    </row>
    <row r="14">
      <c r="B14" t="inlineStr">
        <is>
          <t>Average online order value</t>
        </is>
      </c>
      <c r="C14" t="inlineStr">
        <is>
          <t>$</t>
        </is>
      </c>
      <c r="D14" s="13" t="n">
        <v>48</v>
      </c>
      <c r="E14" s="13" t="n">
        <v>50</v>
      </c>
      <c r="F14" s="13" t="n">
        <v>46</v>
      </c>
      <c r="G14" s="14">
        <f>INDEX(D14:F14,$D$4)</f>
        <v>48</v>
      </c>
    </row>
    <row r="15">
      <c r="B15" t="inlineStr">
        <is>
          <t>Price increase from Jul 2027</t>
        </is>
      </c>
      <c r="C15" t="inlineStr">
        <is>
          <t>%</t>
        </is>
      </c>
      <c r="D15" s="17" t="n">
        <v>0.03</v>
      </c>
      <c r="E15" s="17" t="n">
        <v>0.04</v>
      </c>
      <c r="F15" s="17" t="n">
        <v>0.02</v>
      </c>
      <c r="G15" s="18">
        <f>INDEX(D15:F15,$D$4)</f>
        <v>0.03</v>
      </c>
    </row>
    <row r="16">
      <c r="B16" t="inlineStr">
        <is>
          <t>Cost of goods (green beans, packaging) % of sales</t>
        </is>
      </c>
      <c r="C16" t="inlineStr">
        <is>
          <t>%</t>
        </is>
      </c>
      <c r="D16" s="17" t="n">
        <v>0.34</v>
      </c>
      <c r="E16" s="17" t="n">
        <v>0.335</v>
      </c>
      <c r="F16" s="17" t="n">
        <v>0.365</v>
      </c>
      <c r="G16" s="18">
        <f>INDEX(D16:F16,$D$4)</f>
        <v>0.34</v>
      </c>
    </row>
    <row r="17">
      <c r="B17" t="inlineStr">
        <is>
          <t>Online platform &amp; payment fees % of online sales</t>
        </is>
      </c>
      <c r="C17" t="inlineStr">
        <is>
          <t>%</t>
        </is>
      </c>
      <c r="D17" s="17" t="n">
        <v>0.09</v>
      </c>
      <c r="E17" s="17" t="n">
        <v>0.09</v>
      </c>
      <c r="F17" s="17" t="n">
        <v>0.09</v>
      </c>
      <c r="G17" s="18">
        <f>INDEX(D17:F17,$D$4)</f>
        <v>0.09</v>
      </c>
    </row>
    <row r="18">
      <c r="B18" t="inlineStr">
        <is>
          <t>Wages and on-costs per month (FY27)</t>
        </is>
      </c>
      <c r="C18" t="inlineStr">
        <is>
          <t>$</t>
        </is>
      </c>
      <c r="D18" s="13" t="n">
        <v>41000</v>
      </c>
      <c r="E18" s="13" t="n">
        <v>43000</v>
      </c>
      <c r="F18" s="13" t="n">
        <v>41000</v>
      </c>
      <c r="G18" s="14">
        <f>INDEX(D18:F18,$D$4)</f>
        <v>41000</v>
      </c>
    </row>
    <row r="19">
      <c r="B19" t="inlineStr">
        <is>
          <t>Wage increase from Jul 2027</t>
        </is>
      </c>
      <c r="C19" t="inlineStr">
        <is>
          <t>%</t>
        </is>
      </c>
      <c r="D19" s="17" t="n">
        <v>0.03</v>
      </c>
      <c r="E19" s="17" t="n">
        <v>0.03</v>
      </c>
      <c r="F19" s="17" t="n">
        <v>0.03</v>
      </c>
      <c r="G19" s="18">
        <f>INDEX(D19:F19,$D$4)</f>
        <v>0.03</v>
      </c>
    </row>
    <row r="20">
      <c r="B20" t="inlineStr">
        <is>
          <t>Rent per month</t>
        </is>
      </c>
      <c r="C20" t="inlineStr">
        <is>
          <t>$</t>
        </is>
      </c>
      <c r="D20" s="13" t="n">
        <v>7800</v>
      </c>
      <c r="E20" s="13" t="n">
        <v>7800</v>
      </c>
      <c r="F20" s="13" t="n">
        <v>7800</v>
      </c>
      <c r="G20" s="14">
        <f>INDEX(D20:F20,$D$4)</f>
        <v>7800</v>
      </c>
    </row>
    <row r="21">
      <c r="B21" t="inlineStr">
        <is>
          <t>Marketing % of sales</t>
        </is>
      </c>
      <c r="C21" t="inlineStr">
        <is>
          <t>%</t>
        </is>
      </c>
      <c r="D21" s="17" t="n">
        <v>0.04</v>
      </c>
      <c r="E21" s="17" t="n">
        <v>0.05</v>
      </c>
      <c r="F21" s="17" t="n">
        <v>0.03</v>
      </c>
      <c r="G21" s="18">
        <f>INDEX(D21:F21,$D$4)</f>
        <v>0.04</v>
      </c>
    </row>
    <row r="22">
      <c r="B22" t="inlineStr">
        <is>
          <t>Other overheads per month</t>
        </is>
      </c>
      <c r="C22" t="inlineStr">
        <is>
          <t>$</t>
        </is>
      </c>
      <c r="D22" s="13" t="n">
        <v>6500</v>
      </c>
      <c r="E22" s="13" t="n">
        <v>6500</v>
      </c>
      <c r="F22" s="13" t="n">
        <v>6800</v>
      </c>
      <c r="G22" s="14">
        <f>INDEX(D22:F22,$D$4)</f>
        <v>6500</v>
      </c>
    </row>
    <row r="23">
      <c r="B23" t="inlineStr">
        <is>
          <t>New roaster (capital purchase)</t>
        </is>
      </c>
      <c r="C23" t="inlineStr">
        <is>
          <t>$</t>
        </is>
      </c>
      <c r="D23" s="13" t="n">
        <v>85000</v>
      </c>
      <c r="E23" s="13" t="n">
        <v>85000</v>
      </c>
      <c r="F23" s="13" t="n">
        <v>85000</v>
      </c>
      <c r="G23" s="14">
        <f>INDEX(D23:F23,$D$4)</f>
        <v>85000</v>
      </c>
    </row>
    <row r="24">
      <c r="B24" t="inlineStr">
        <is>
          <t>Roaster purchase month (1 = Jul 2026)</t>
        </is>
      </c>
      <c r="C24" t="inlineStr">
        <is>
          <t>month</t>
        </is>
      </c>
      <c r="D24" s="13" t="n">
        <v>3</v>
      </c>
      <c r="E24" s="13" t="n">
        <v>3</v>
      </c>
      <c r="F24" s="13" t="n">
        <v>3</v>
      </c>
      <c r="G24" s="14">
        <f>INDEX(D24:F24,$D$4)</f>
        <v>3</v>
      </c>
    </row>
    <row r="25">
      <c r="B25" t="inlineStr">
        <is>
          <t>Maintenance capex per month</t>
        </is>
      </c>
      <c r="C25" t="inlineStr">
        <is>
          <t>$</t>
        </is>
      </c>
      <c r="D25" s="13" t="n">
        <v>1000</v>
      </c>
      <c r="E25" s="13" t="n">
        <v>1000</v>
      </c>
      <c r="F25" s="13" t="n">
        <v>1000</v>
      </c>
      <c r="G25" s="14">
        <f>INDEX(D25:F25,$D$4)</f>
        <v>1000</v>
      </c>
    </row>
    <row r="26">
      <c r="B26" t="inlineStr">
        <is>
          <t>Equipment finance % of roaster cost</t>
        </is>
      </c>
      <c r="C26" t="inlineStr">
        <is>
          <t>%</t>
        </is>
      </c>
      <c r="D26" s="17" t="n">
        <v>0.7</v>
      </c>
      <c r="E26" s="17" t="n">
        <v>0.7</v>
      </c>
      <c r="F26" s="17" t="n">
        <v>0.5</v>
      </c>
      <c r="G26" s="18">
        <f>INDEX(D26:F26,$D$4)</f>
        <v>0.7</v>
      </c>
    </row>
    <row r="27">
      <c r="B27" t="inlineStr">
        <is>
          <t>Roaster useful life</t>
        </is>
      </c>
      <c r="C27" t="inlineStr">
        <is>
          <t>months</t>
        </is>
      </c>
      <c r="D27" s="13" t="n">
        <v>84</v>
      </c>
      <c r="E27" s="13" t="n">
        <v>84</v>
      </c>
      <c r="F27" s="13" t="n">
        <v>84</v>
      </c>
      <c r="G27" s="14">
        <f>INDEX(D27:F27,$D$4)</f>
        <v>84</v>
      </c>
    </row>
    <row r="28">
      <c r="B28" t="inlineStr">
        <is>
          <t>Depreciation on existing equipment per month</t>
        </is>
      </c>
      <c r="C28" t="inlineStr">
        <is>
          <t>$</t>
        </is>
      </c>
      <c r="D28" s="13" t="n">
        <v>2400</v>
      </c>
      <c r="E28" s="13" t="n">
        <v>2400</v>
      </c>
      <c r="F28" s="13" t="n">
        <v>2400</v>
      </c>
      <c r="G28" s="14">
        <f>INDEX(D28:F28,$D$4)</f>
        <v>2400</v>
      </c>
    </row>
    <row r="29">
      <c r="B29" t="inlineStr">
        <is>
          <t>Debtor days (wholesale)</t>
        </is>
      </c>
      <c r="C29" t="inlineStr">
        <is>
          <t>days</t>
        </is>
      </c>
      <c r="D29" s="13" t="n">
        <v>28</v>
      </c>
      <c r="E29" s="13" t="n">
        <v>25</v>
      </c>
      <c r="F29" s="13" t="n">
        <v>38</v>
      </c>
      <c r="G29" s="14">
        <f>INDEX(D29:F29,$D$4)</f>
        <v>28</v>
      </c>
    </row>
    <row r="30">
      <c r="B30" t="inlineStr">
        <is>
          <t>Inventory days (on cost of goods)</t>
        </is>
      </c>
      <c r="C30" t="inlineStr">
        <is>
          <t>days</t>
        </is>
      </c>
      <c r="D30" s="13" t="n">
        <v>45</v>
      </c>
      <c r="E30" s="13" t="n">
        <v>40</v>
      </c>
      <c r="F30" s="13" t="n">
        <v>55</v>
      </c>
      <c r="G30" s="14">
        <f>INDEX(D30:F30,$D$4)</f>
        <v>45</v>
      </c>
    </row>
    <row r="31">
      <c r="B31" t="inlineStr">
        <is>
          <t>Creditor days (on cost of goods)</t>
        </is>
      </c>
      <c r="C31" t="inlineStr">
        <is>
          <t>days</t>
        </is>
      </c>
      <c r="D31" s="13" t="n">
        <v>30</v>
      </c>
      <c r="E31" s="13" t="n">
        <v>30</v>
      </c>
      <c r="F31" s="13" t="n">
        <v>21</v>
      </c>
      <c r="G31" s="14">
        <f>INDEX(D31:F31,$D$4)</f>
        <v>30</v>
      </c>
    </row>
    <row r="32">
      <c r="B32" t="inlineStr">
        <is>
          <t>Loan interest rate p.a.</t>
        </is>
      </c>
      <c r="C32" t="inlineStr">
        <is>
          <t>%</t>
        </is>
      </c>
      <c r="D32" s="17" t="n">
        <v>0.08500000000000001</v>
      </c>
      <c r="E32" s="17" t="n">
        <v>0.08500000000000001</v>
      </c>
      <c r="F32" s="17" t="n">
        <v>0.095</v>
      </c>
      <c r="G32" s="18">
        <f>INDEX(D32:F32,$D$4)</f>
        <v>0.085</v>
      </c>
    </row>
    <row r="33">
      <c r="B33" t="inlineStr">
        <is>
          <t>Loan principal repayment per month</t>
        </is>
      </c>
      <c r="C33" t="inlineStr">
        <is>
          <t>$</t>
        </is>
      </c>
      <c r="D33" s="13" t="n">
        <v>2500</v>
      </c>
      <c r="E33" s="13" t="n">
        <v>2500</v>
      </c>
      <c r="F33" s="13" t="n">
        <v>2500</v>
      </c>
      <c r="G33" s="14">
        <f>INDEX(D33:F33,$D$4)</f>
        <v>2500</v>
      </c>
    </row>
    <row r="34">
      <c r="B34" t="inlineStr">
        <is>
          <t>Company tax rate (simplified)</t>
        </is>
      </c>
      <c r="C34" t="inlineStr">
        <is>
          <t>%</t>
        </is>
      </c>
      <c r="D34" s="17" t="n">
        <v>0.25</v>
      </c>
      <c r="E34" s="17" t="n">
        <v>0.25</v>
      </c>
      <c r="F34" s="17" t="n">
        <v>0.25</v>
      </c>
      <c r="G34" s="18">
        <f>INDEX(D34:F34,$D$4)</f>
        <v>0.25</v>
      </c>
    </row>
    <row r="35">
      <c r="B35" t="inlineStr">
        <is>
          <t>Owner dividend per quarter</t>
        </is>
      </c>
      <c r="C35" t="inlineStr">
        <is>
          <t>$</t>
        </is>
      </c>
      <c r="D35" s="13" t="n">
        <v>9000</v>
      </c>
      <c r="E35" s="13" t="n">
        <v>12000</v>
      </c>
      <c r="F35" s="13" t="n">
        <v>9000</v>
      </c>
      <c r="G35" s="14">
        <f>INDEX(D35:F35,$D$4)</f>
        <v>9000</v>
      </c>
    </row>
    <row r="36">
      <c r="B36" t="inlineStr">
        <is>
          <t>Minimum cash buffer</t>
        </is>
      </c>
      <c r="C36" t="inlineStr">
        <is>
          <t>$</t>
        </is>
      </c>
      <c r="D36" s="13" t="n">
        <v>25000</v>
      </c>
      <c r="E36" s="13" t="n">
        <v>25000</v>
      </c>
      <c r="F36" s="13" t="n">
        <v>25000</v>
      </c>
      <c r="G36" s="14">
        <f>INDEX(D36:F36,$D$4)</f>
        <v>25000</v>
      </c>
    </row>
    <row r="37">
      <c r="B37" t="inlineStr">
        <is>
          <t>Overdraft limit</t>
        </is>
      </c>
      <c r="C37" t="inlineStr">
        <is>
          <t>$</t>
        </is>
      </c>
      <c r="D37" s="13" t="n">
        <v>40000</v>
      </c>
      <c r="E37" s="13" t="n">
        <v>40000</v>
      </c>
      <c r="F37" s="13" t="n">
        <v>40000</v>
      </c>
      <c r="G37" s="14">
        <f>INDEX(D37:F37,$D$4)</f>
        <v>40000</v>
      </c>
    </row>
    <row r="40">
      <c r="B40" s="3" t="inlineStr">
        <is>
          <t>Seasonality index (volume)</t>
        </is>
      </c>
      <c r="D40" s="7" t="inlineStr">
        <is>
          <t>Jul</t>
        </is>
      </c>
      <c r="E40" s="7" t="inlineStr">
        <is>
          <t>Aug</t>
        </is>
      </c>
      <c r="F40" s="7" t="inlineStr">
        <is>
          <t>Sep</t>
        </is>
      </c>
      <c r="G40" s="7" t="inlineStr">
        <is>
          <t>Oct</t>
        </is>
      </c>
      <c r="H40" s="7" t="inlineStr">
        <is>
          <t>Nov</t>
        </is>
      </c>
      <c r="I40" s="7" t="inlineStr">
        <is>
          <t>Dec</t>
        </is>
      </c>
      <c r="J40" s="7" t="inlineStr">
        <is>
          <t>Jan</t>
        </is>
      </c>
      <c r="K40" s="7" t="inlineStr">
        <is>
          <t>Feb</t>
        </is>
      </c>
      <c r="L40" s="7" t="inlineStr">
        <is>
          <t>Mar</t>
        </is>
      </c>
      <c r="M40" s="7" t="inlineStr">
        <is>
          <t>Apr</t>
        </is>
      </c>
      <c r="N40" s="7" t="inlineStr">
        <is>
          <t>May</t>
        </is>
      </c>
      <c r="O40" s="7" t="inlineStr">
        <is>
          <t>Jun</t>
        </is>
      </c>
    </row>
    <row r="41">
      <c r="D41" s="19" t="n">
        <v>1</v>
      </c>
      <c r="E41" s="19" t="n">
        <v>0.98</v>
      </c>
      <c r="F41" s="19" t="n">
        <v>1</v>
      </c>
      <c r="G41" s="19" t="n">
        <v>1.03</v>
      </c>
      <c r="H41" s="19" t="n">
        <v>1.05</v>
      </c>
      <c r="I41" s="19" t="n">
        <v>1.12</v>
      </c>
      <c r="J41" s="19" t="n">
        <v>0.88</v>
      </c>
      <c r="K41" s="19" t="n">
        <v>0.95</v>
      </c>
      <c r="L41" s="19" t="n">
        <v>1</v>
      </c>
      <c r="M41" s="19" t="n">
        <v>1</v>
      </c>
      <c r="N41" s="19" t="n">
        <v>0.97</v>
      </c>
      <c r="O41" s="19" t="n">
        <v>0.96</v>
      </c>
    </row>
    <row r="44">
      <c r="B44" s="3" t="inlineStr">
        <is>
          <t>Opening balance sheet, 30 Jun 2026</t>
        </is>
      </c>
    </row>
    <row r="45">
      <c r="B45" t="inlineStr">
        <is>
          <t>Cash at bank</t>
        </is>
      </c>
      <c r="D45" s="20" t="n">
        <v>64000</v>
      </c>
    </row>
    <row r="46">
      <c r="B46" t="inlineStr">
        <is>
          <t>Trade debtors</t>
        </is>
      </c>
      <c r="D46" s="20" t="n">
        <v>45000</v>
      </c>
    </row>
    <row r="47">
      <c r="B47" t="inlineStr">
        <is>
          <t>Inventory</t>
        </is>
      </c>
      <c r="D47" s="20" t="n">
        <v>52000</v>
      </c>
    </row>
    <row r="48">
      <c r="B48" t="inlineStr">
        <is>
          <t>Plant &amp; equipment (net)</t>
        </is>
      </c>
      <c r="D48" s="20" t="n">
        <v>180000</v>
      </c>
    </row>
    <row r="49">
      <c r="B49" t="inlineStr">
        <is>
          <t>Trade creditors</t>
        </is>
      </c>
      <c r="D49" s="20" t="n">
        <v>31000</v>
      </c>
    </row>
    <row r="50">
      <c r="B50" t="inlineStr">
        <is>
          <t>Tax payable</t>
        </is>
      </c>
      <c r="D50" s="20" t="n">
        <v>3000</v>
      </c>
    </row>
    <row r="51">
      <c r="B51" t="inlineStr">
        <is>
          <t>Equipment loan</t>
        </is>
      </c>
      <c r="D51" s="20" t="n">
        <v>120000</v>
      </c>
    </row>
    <row r="52">
      <c r="B52" t="inlineStr">
        <is>
          <t>Share capital</t>
        </is>
      </c>
      <c r="D52" s="20" t="n">
        <v>50000</v>
      </c>
    </row>
    <row r="53">
      <c r="B53" t="inlineStr">
        <is>
          <t>Retained earnings</t>
        </is>
      </c>
      <c r="D53" s="20" t="n">
        <v>137000</v>
      </c>
    </row>
    <row r="54">
      <c r="B54" t="inlineStr">
        <is>
          <t>Check: assets − liabilities − equity</t>
        </is>
      </c>
      <c r="D54">
        <f>D45+D46+D47+D48-D49-D50-D51-D52-D53</f>
        <v>0</v>
      </c>
    </row>
  </sheetData>
  <dataValidations count="1">
    <dataValidation sqref="C4" showDropDown="0" showInputMessage="0" showErrorMessage="0" allowBlank="0" type="list">
      <formula1>"Base,Upside,Downside"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A7F86"/>
    <outlinePr summaryBelow="1" summaryRight="1"/>
    <pageSetUpPr/>
  </sheetPr>
  <dimension ref="B2:AC33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2" max="2"/>
    <col width="11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1.5" customWidth="1" min="18" max="18"/>
    <col width="11.5" customWidth="1" min="19" max="19"/>
    <col width="11.5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1.5" customWidth="1" min="27" max="27"/>
    <col width="11.5" customWidth="1" min="28" max="28"/>
    <col width="11.5" customWidth="1" min="29" max="29"/>
  </cols>
  <sheetData>
    <row r="2">
      <c r="B2" s="1" t="inlineStr">
        <is>
          <t>Profit &amp; loss</t>
        </is>
      </c>
    </row>
    <row r="3">
      <c r="B3" s="2" t="inlineStr">
        <is>
          <t>Monthly, AUD  ·  Sample project, placeholder data.</t>
        </is>
      </c>
    </row>
    <row r="5">
      <c r="B5" s="7" t="inlineStr">
        <is>
          <t>Month</t>
        </is>
      </c>
      <c r="C5" s="7" t="n"/>
      <c r="D5" s="21" t="n">
        <v>46204</v>
      </c>
      <c r="E5" s="21" t="n">
        <v>46235</v>
      </c>
      <c r="F5" s="21" t="n">
        <v>46266</v>
      </c>
      <c r="G5" s="21" t="n">
        <v>46296</v>
      </c>
      <c r="H5" s="21" t="n">
        <v>46327</v>
      </c>
      <c r="I5" s="21" t="n">
        <v>46357</v>
      </c>
      <c r="J5" s="21" t="n">
        <v>46388</v>
      </c>
      <c r="K5" s="21" t="n">
        <v>46419</v>
      </c>
      <c r="L5" s="21" t="n">
        <v>46447</v>
      </c>
      <c r="M5" s="21" t="n">
        <v>46478</v>
      </c>
      <c r="N5" s="21" t="n">
        <v>46508</v>
      </c>
      <c r="O5" s="21" t="n">
        <v>46539</v>
      </c>
      <c r="P5" s="21" t="n">
        <v>46569</v>
      </c>
      <c r="Q5" s="21" t="n">
        <v>46600</v>
      </c>
      <c r="R5" s="21" t="n">
        <v>46631</v>
      </c>
      <c r="S5" s="21" t="n">
        <v>46661</v>
      </c>
      <c r="T5" s="21" t="n">
        <v>46692</v>
      </c>
      <c r="U5" s="21" t="n">
        <v>46722</v>
      </c>
      <c r="V5" s="21" t="n">
        <v>46753</v>
      </c>
      <c r="W5" s="21" t="n">
        <v>46784</v>
      </c>
      <c r="X5" s="21" t="n">
        <v>46813</v>
      </c>
      <c r="Y5" s="21" t="n">
        <v>46844</v>
      </c>
      <c r="Z5" s="21" t="n">
        <v>46874</v>
      </c>
      <c r="AA5" s="21" t="n">
        <v>46905</v>
      </c>
      <c r="AB5" s="7" t="inlineStr">
        <is>
          <t>FY27</t>
        </is>
      </c>
      <c r="AC5" s="7" t="inlineStr">
        <is>
          <t>FY28</t>
        </is>
      </c>
    </row>
    <row r="6">
      <c r="B6" t="inlineStr">
        <is>
          <t>Month no.</t>
        </is>
      </c>
      <c r="D6" t="n">
        <v>1</v>
      </c>
      <c r="E6" t="n">
        <v>2</v>
      </c>
      <c r="F6" t="n">
        <v>3</v>
      </c>
      <c r="G6" t="n">
        <v>4</v>
      </c>
      <c r="H6" t="n">
        <v>5</v>
      </c>
      <c r="I6" t="n">
        <v>6</v>
      </c>
      <c r="J6" t="n">
        <v>7</v>
      </c>
      <c r="K6" t="n">
        <v>8</v>
      </c>
      <c r="L6" t="n">
        <v>9</v>
      </c>
      <c r="M6" t="n">
        <v>10</v>
      </c>
      <c r="N6" t="n">
        <v>11</v>
      </c>
      <c r="O6" t="n">
        <v>12</v>
      </c>
      <c r="P6" t="n">
        <v>13</v>
      </c>
      <c r="Q6" t="n">
        <v>14</v>
      </c>
      <c r="R6" t="n">
        <v>15</v>
      </c>
      <c r="S6" t="n">
        <v>16</v>
      </c>
      <c r="T6" t="n">
        <v>17</v>
      </c>
      <c r="U6" t="n">
        <v>18</v>
      </c>
      <c r="V6" t="n">
        <v>19</v>
      </c>
      <c r="W6" t="n">
        <v>20</v>
      </c>
      <c r="X6" t="n">
        <v>21</v>
      </c>
      <c r="Y6" t="n">
        <v>22</v>
      </c>
      <c r="Z6" t="n">
        <v>23</v>
      </c>
      <c r="AA6" t="n">
        <v>24</v>
      </c>
    </row>
    <row r="7">
      <c r="B7" t="inlineStr">
        <is>
          <t>Year no.</t>
        </is>
      </c>
      <c r="D7">
        <f>IF(D6&lt;=12,1,2)</f>
        <v>1</v>
      </c>
      <c r="E7">
        <f>IF(E6&lt;=12,1,2)</f>
        <v>1</v>
      </c>
      <c r="F7">
        <f>IF(F6&lt;=12,1,2)</f>
        <v>1</v>
      </c>
      <c r="G7">
        <f>IF(G6&lt;=12,1,2)</f>
        <v>1</v>
      </c>
      <c r="H7">
        <f>IF(H6&lt;=12,1,2)</f>
        <v>1</v>
      </c>
      <c r="I7">
        <f>IF(I6&lt;=12,1,2)</f>
        <v>1</v>
      </c>
      <c r="J7">
        <f>IF(J6&lt;=12,1,2)</f>
        <v>1</v>
      </c>
      <c r="K7">
        <f>IF(K6&lt;=12,1,2)</f>
        <v>1</v>
      </c>
      <c r="L7">
        <f>IF(L6&lt;=12,1,2)</f>
        <v>1</v>
      </c>
      <c r="M7">
        <f>IF(M6&lt;=12,1,2)</f>
        <v>1</v>
      </c>
      <c r="N7">
        <f>IF(N6&lt;=12,1,2)</f>
        <v>1</v>
      </c>
      <c r="O7">
        <f>IF(O6&lt;=12,1,2)</f>
        <v>1</v>
      </c>
      <c r="P7">
        <f>IF(P6&lt;=12,1,2)</f>
        <v>2</v>
      </c>
      <c r="Q7">
        <f>IF(Q6&lt;=12,1,2)</f>
        <v>2</v>
      </c>
      <c r="R7">
        <f>IF(R6&lt;=12,1,2)</f>
        <v>2</v>
      </c>
      <c r="S7">
        <f>IF(S6&lt;=12,1,2)</f>
        <v>2</v>
      </c>
      <c r="T7">
        <f>IF(T6&lt;=12,1,2)</f>
        <v>2</v>
      </c>
      <c r="U7">
        <f>IF(U6&lt;=12,1,2)</f>
        <v>2</v>
      </c>
      <c r="V7">
        <f>IF(V6&lt;=12,1,2)</f>
        <v>2</v>
      </c>
      <c r="W7">
        <f>IF(W6&lt;=12,1,2)</f>
        <v>2</v>
      </c>
      <c r="X7">
        <f>IF(X6&lt;=12,1,2)</f>
        <v>2</v>
      </c>
      <c r="Y7">
        <f>IF(Y6&lt;=12,1,2)</f>
        <v>2</v>
      </c>
      <c r="Z7">
        <f>IF(Z6&lt;=12,1,2)</f>
        <v>2</v>
      </c>
      <c r="AA7">
        <f>IF(AA6&lt;=12,1,2)</f>
        <v>2</v>
      </c>
    </row>
    <row r="8">
      <c r="B8" t="inlineStr">
        <is>
          <t>Seasonality index</t>
        </is>
      </c>
      <c r="D8" s="22">
        <f>INDEX(Assumptions!$D$41:$O$41,MOD(D6-1,12)+1)</f>
        <v>1</v>
      </c>
      <c r="E8" s="22">
        <f>INDEX(Assumptions!$D$41:$O$41,MOD(E6-1,12)+1)</f>
        <v>0.98</v>
      </c>
      <c r="F8" s="22">
        <f>INDEX(Assumptions!$D$41:$O$41,MOD(F6-1,12)+1)</f>
        <v>1</v>
      </c>
      <c r="G8" s="22">
        <f>INDEX(Assumptions!$D$41:$O$41,MOD(G6-1,12)+1)</f>
        <v>1.03</v>
      </c>
      <c r="H8" s="22">
        <f>INDEX(Assumptions!$D$41:$O$41,MOD(H6-1,12)+1)</f>
        <v>1.05</v>
      </c>
      <c r="I8" s="22">
        <f>INDEX(Assumptions!$D$41:$O$41,MOD(I6-1,12)+1)</f>
        <v>1.12</v>
      </c>
      <c r="J8" s="22">
        <f>INDEX(Assumptions!$D$41:$O$41,MOD(J6-1,12)+1)</f>
        <v>0.88</v>
      </c>
      <c r="K8" s="22">
        <f>INDEX(Assumptions!$D$41:$O$41,MOD(K6-1,12)+1)</f>
        <v>0.95</v>
      </c>
      <c r="L8" s="22">
        <f>INDEX(Assumptions!$D$41:$O$41,MOD(L6-1,12)+1)</f>
        <v>1</v>
      </c>
      <c r="M8" s="22">
        <f>INDEX(Assumptions!$D$41:$O$41,MOD(M6-1,12)+1)</f>
        <v>1</v>
      </c>
      <c r="N8" s="22">
        <f>INDEX(Assumptions!$D$41:$O$41,MOD(N6-1,12)+1)</f>
        <v>0.97</v>
      </c>
      <c r="O8" s="22">
        <f>INDEX(Assumptions!$D$41:$O$41,MOD(O6-1,12)+1)</f>
        <v>0.96</v>
      </c>
      <c r="P8" s="22">
        <f>INDEX(Assumptions!$D$41:$O$41,MOD(P6-1,12)+1)</f>
        <v>1</v>
      </c>
      <c r="Q8" s="22">
        <f>INDEX(Assumptions!$D$41:$O$41,MOD(Q6-1,12)+1)</f>
        <v>0.98</v>
      </c>
      <c r="R8" s="22">
        <f>INDEX(Assumptions!$D$41:$O$41,MOD(R6-1,12)+1)</f>
        <v>1</v>
      </c>
      <c r="S8" s="22">
        <f>INDEX(Assumptions!$D$41:$O$41,MOD(S6-1,12)+1)</f>
        <v>1.03</v>
      </c>
      <c r="T8" s="22">
        <f>INDEX(Assumptions!$D$41:$O$41,MOD(T6-1,12)+1)</f>
        <v>1.05</v>
      </c>
      <c r="U8" s="22">
        <f>INDEX(Assumptions!$D$41:$O$41,MOD(U6-1,12)+1)</f>
        <v>1.12</v>
      </c>
      <c r="V8" s="22">
        <f>INDEX(Assumptions!$D$41:$O$41,MOD(V6-1,12)+1)</f>
        <v>0.88</v>
      </c>
      <c r="W8" s="22">
        <f>INDEX(Assumptions!$D$41:$O$41,MOD(W6-1,12)+1)</f>
        <v>0.95</v>
      </c>
      <c r="X8" s="22">
        <f>INDEX(Assumptions!$D$41:$O$41,MOD(X6-1,12)+1)</f>
        <v>1</v>
      </c>
      <c r="Y8" s="22">
        <f>INDEX(Assumptions!$D$41:$O$41,MOD(Y6-1,12)+1)</f>
        <v>1</v>
      </c>
      <c r="Z8" s="22">
        <f>INDEX(Assumptions!$D$41:$O$41,MOD(Z6-1,12)+1)</f>
        <v>0.97</v>
      </c>
      <c r="AA8" s="22">
        <f>INDEX(Assumptions!$D$41:$O$41,MOD(AA6-1,12)+1)</f>
        <v>0.96</v>
      </c>
    </row>
    <row r="9">
      <c r="B9" t="inlineStr">
        <is>
          <t>Wholesale cafe accounts</t>
        </is>
      </c>
      <c r="D9" s="23">
        <f>Assumptions!$G$8+Assumptions!$G$9*D6</f>
        <v>43.5</v>
      </c>
      <c r="E9" s="23">
        <f>Assumptions!$G$8+Assumptions!$G$9*E6</f>
        <v>45</v>
      </c>
      <c r="F9" s="23">
        <f>Assumptions!$G$8+Assumptions!$G$9*F6</f>
        <v>46.5</v>
      </c>
      <c r="G9" s="23">
        <f>Assumptions!$G$8+Assumptions!$G$9*G6</f>
        <v>48</v>
      </c>
      <c r="H9" s="23">
        <f>Assumptions!$G$8+Assumptions!$G$9*H6</f>
        <v>49.5</v>
      </c>
      <c r="I9" s="23">
        <f>Assumptions!$G$8+Assumptions!$G$9*I6</f>
        <v>51</v>
      </c>
      <c r="J9" s="23">
        <f>Assumptions!$G$8+Assumptions!$G$9*J6</f>
        <v>52.5</v>
      </c>
      <c r="K9" s="23">
        <f>Assumptions!$G$8+Assumptions!$G$9*K6</f>
        <v>54</v>
      </c>
      <c r="L9" s="23">
        <f>Assumptions!$G$8+Assumptions!$G$9*L6</f>
        <v>55.5</v>
      </c>
      <c r="M9" s="23">
        <f>Assumptions!$G$8+Assumptions!$G$9*M6</f>
        <v>57</v>
      </c>
      <c r="N9" s="23">
        <f>Assumptions!$G$8+Assumptions!$G$9*N6</f>
        <v>58.5</v>
      </c>
      <c r="O9" s="23">
        <f>Assumptions!$G$8+Assumptions!$G$9*O6</f>
        <v>60</v>
      </c>
      <c r="P9" s="23">
        <f>Assumptions!$G$8+Assumptions!$G$9*P6</f>
        <v>61.5</v>
      </c>
      <c r="Q9" s="23">
        <f>Assumptions!$G$8+Assumptions!$G$9*Q6</f>
        <v>63</v>
      </c>
      <c r="R9" s="23">
        <f>Assumptions!$G$8+Assumptions!$G$9*R6</f>
        <v>64.5</v>
      </c>
      <c r="S9" s="23">
        <f>Assumptions!$G$8+Assumptions!$G$9*S6</f>
        <v>66</v>
      </c>
      <c r="T9" s="23">
        <f>Assumptions!$G$8+Assumptions!$G$9*T6</f>
        <v>67.5</v>
      </c>
      <c r="U9" s="23">
        <f>Assumptions!$G$8+Assumptions!$G$9*U6</f>
        <v>69</v>
      </c>
      <c r="V9" s="23">
        <f>Assumptions!$G$8+Assumptions!$G$9*V6</f>
        <v>70.5</v>
      </c>
      <c r="W9" s="23">
        <f>Assumptions!$G$8+Assumptions!$G$9*W6</f>
        <v>72</v>
      </c>
      <c r="X9" s="23">
        <f>Assumptions!$G$8+Assumptions!$G$9*X6</f>
        <v>73.5</v>
      </c>
      <c r="Y9" s="23">
        <f>Assumptions!$G$8+Assumptions!$G$9*Y6</f>
        <v>75</v>
      </c>
      <c r="Z9" s="23">
        <f>Assumptions!$G$8+Assumptions!$G$9*Z6</f>
        <v>76.5</v>
      </c>
      <c r="AA9" s="23">
        <f>Assumptions!$G$8+Assumptions!$G$9*AA6</f>
        <v>78</v>
      </c>
    </row>
    <row r="10">
      <c r="B10" t="inlineStr">
        <is>
          <t>Wholesale coffee sold (kg)</t>
        </is>
      </c>
      <c r="D10" s="24">
        <f>D9*Assumptions!$G$10*D8</f>
        <v>1653</v>
      </c>
      <c r="E10" s="24">
        <f>E9*Assumptions!$G$10*E8</f>
        <v>1675.8</v>
      </c>
      <c r="F10" s="24">
        <f>F9*Assumptions!$G$10*F8</f>
        <v>1767</v>
      </c>
      <c r="G10" s="24">
        <f>G9*Assumptions!$G$10*G8</f>
        <v>1878.72</v>
      </c>
      <c r="H10" s="24">
        <f>H9*Assumptions!$G$10*H8</f>
        <v>1975.05</v>
      </c>
      <c r="I10" s="24">
        <f>I9*Assumptions!$G$10*I8</f>
        <v>2170.56</v>
      </c>
      <c r="J10" s="24">
        <f>J9*Assumptions!$G$10*J8</f>
        <v>1755.6</v>
      </c>
      <c r="K10" s="24">
        <f>K9*Assumptions!$G$10*K8</f>
        <v>1949.4</v>
      </c>
      <c r="L10" s="24">
        <f>L9*Assumptions!$G$10*L8</f>
        <v>2109</v>
      </c>
      <c r="M10" s="24">
        <f>M9*Assumptions!$G$10*M8</f>
        <v>2166</v>
      </c>
      <c r="N10" s="24">
        <f>N9*Assumptions!$G$10*N8</f>
        <v>2156.31</v>
      </c>
      <c r="O10" s="24">
        <f>O9*Assumptions!$G$10*O8</f>
        <v>2188.8</v>
      </c>
      <c r="P10" s="24">
        <f>P9*Assumptions!$G$10*P8</f>
        <v>2337</v>
      </c>
      <c r="Q10" s="24">
        <f>Q9*Assumptions!$G$10*Q8</f>
        <v>2346.12</v>
      </c>
      <c r="R10" s="24">
        <f>R9*Assumptions!$G$10*R8</f>
        <v>2451</v>
      </c>
      <c r="S10" s="24">
        <f>S9*Assumptions!$G$10*S8</f>
        <v>2583.24</v>
      </c>
      <c r="T10" s="24">
        <f>T9*Assumptions!$G$10*T8</f>
        <v>2693.25</v>
      </c>
      <c r="U10" s="24">
        <f>U9*Assumptions!$G$10*U8</f>
        <v>2936.64</v>
      </c>
      <c r="V10" s="24">
        <f>V9*Assumptions!$G$10*V8</f>
        <v>2357.52</v>
      </c>
      <c r="W10" s="24">
        <f>W9*Assumptions!$G$10*W8</f>
        <v>2599.2</v>
      </c>
      <c r="X10" s="24">
        <f>X9*Assumptions!$G$10*X8</f>
        <v>2793</v>
      </c>
      <c r="Y10" s="24">
        <f>Y9*Assumptions!$G$10*Y8</f>
        <v>2850</v>
      </c>
      <c r="Z10" s="24">
        <f>Z9*Assumptions!$G$10*Z8</f>
        <v>2819.79</v>
      </c>
      <c r="AA10" s="24">
        <f>AA9*Assumptions!$G$10*AA8</f>
        <v>2845.44</v>
      </c>
      <c r="AB10" s="14">
        <f>SUM(D10:O10)</f>
        <v>23445.24</v>
      </c>
      <c r="AC10" s="14">
        <f>SUM(P10:AA10)</f>
        <v>31612.2</v>
      </c>
    </row>
    <row r="11">
      <c r="B11" t="inlineStr">
        <is>
          <t>Online orders</t>
        </is>
      </c>
      <c r="D11" s="24">
        <f>Assumptions!$G$12*(1+Assumptions!$G$13)^(D6-1)*D8</f>
        <v>900</v>
      </c>
      <c r="E11" s="24">
        <f>Assumptions!$G$12*(1+Assumptions!$G$13)^(E6-1)*E8</f>
        <v>899.64</v>
      </c>
      <c r="F11" s="24">
        <f>Assumptions!$G$12*(1+Assumptions!$G$13)^(F6-1)*F8</f>
        <v>936.36</v>
      </c>
      <c r="G11" s="24">
        <f>Assumptions!$G$12*(1+Assumptions!$G$13)^(G6-1)*G8</f>
        <v>983.739816</v>
      </c>
      <c r="H11" s="24">
        <f>Assumptions!$G$12*(1+Assumptions!$G$13)^(H6-1)*H8</f>
        <v>1022.8983912</v>
      </c>
      <c r="I11" s="24">
        <f>Assumptions!$G$12*(1+Assumptions!$G$13)^(I6-1)*I8</f>
        <v>1112.9134496256</v>
      </c>
      <c r="J11" s="24">
        <f>Assumptions!$G$12*(1+Assumptions!$G$13)^(J6-1)*J8</f>
        <v>891.920636057088</v>
      </c>
      <c r="K11" s="24">
        <f>Assumptions!$G$12*(1+Assumptions!$G$13)^(K6-1)*K8</f>
        <v>982.126245840134</v>
      </c>
      <c r="L11" s="24">
        <f>Assumptions!$G$12*(1+Assumptions!$G$13)^(L6-1)*L8</f>
        <v>1054.49344290204</v>
      </c>
      <c r="M11" s="24">
        <f>Assumptions!$G$12*(1+Assumptions!$G$13)^(M6-1)*M8</f>
        <v>1075.58331176008</v>
      </c>
      <c r="N11" s="24">
        <f>Assumptions!$G$12*(1+Assumptions!$G$13)^(N6-1)*N8</f>
        <v>1064.18212865542</v>
      </c>
      <c r="O11" s="24">
        <f>Assumptions!$G$12*(1+Assumptions!$G$13)^(O6-1)*O8</f>
        <v>1074.27540245298</v>
      </c>
      <c r="P11" s="24">
        <f>Assumptions!$G$12*(1+Assumptions!$G$13)^(P6-1)*P8</f>
        <v>1141.41761510629</v>
      </c>
      <c r="Q11" s="24">
        <f>Assumptions!$G$12*(1+Assumptions!$G$13)^(Q6-1)*Q8</f>
        <v>1140.96104806025</v>
      </c>
      <c r="R11" s="24">
        <f>Assumptions!$G$12*(1+Assumptions!$G$13)^(R6-1)*R8</f>
        <v>1187.53088675659</v>
      </c>
      <c r="S11" s="24">
        <f>Assumptions!$G$12*(1+Assumptions!$G$13)^(S6-1)*S8</f>
        <v>1247.61994962647</v>
      </c>
      <c r="T11" s="24">
        <f>Assumptions!$G$12*(1+Assumptions!$G$13)^(T6-1)*T8</f>
        <v>1297.28249131063</v>
      </c>
      <c r="U11" s="24">
        <f>Assumptions!$G$12*(1+Assumptions!$G$13)^(U6-1)*U8</f>
        <v>1411.44335054596</v>
      </c>
      <c r="V11" s="24">
        <f>Assumptions!$G$12*(1+Assumptions!$G$13)^(V6-1)*V8</f>
        <v>1131.17102808041</v>
      </c>
      <c r="W11" s="24">
        <f>Assumptions!$G$12*(1+Assumptions!$G$13)^(W6-1)*W8</f>
        <v>1245.57355251127</v>
      </c>
      <c r="X11" s="24">
        <f>Assumptions!$G$12*(1+Assumptions!$G$13)^(X6-1)*X8</f>
        <v>1337.35265638052</v>
      </c>
      <c r="Y11" s="24">
        <f>Assumptions!$G$12*(1+Assumptions!$G$13)^(Y6-1)*Y8</f>
        <v>1364.09970950813</v>
      </c>
      <c r="Z11" s="24">
        <f>Assumptions!$G$12*(1+Assumptions!$G$13)^(Z6-1)*Z8</f>
        <v>1349.64025258734</v>
      </c>
      <c r="AA11" s="24">
        <f>Assumptions!$G$12*(1+Assumptions!$G$13)^(AA6-1)*AA8</f>
        <v>1362.44096426137</v>
      </c>
      <c r="AB11" s="14">
        <f>SUM(D11:O11)</f>
        <v>11998.1328244933</v>
      </c>
      <c r="AC11" s="14">
        <f>SUM(P11:AA11)</f>
        <v>15216.5335047352</v>
      </c>
    </row>
    <row r="13">
      <c r="B13" t="inlineStr">
        <is>
          <t>Wholesale revenue</t>
        </is>
      </c>
      <c r="D13" s="8">
        <f>D10*Assumptions!$G$11*(1+Assumptions!$G$15)^(D7-1)</f>
        <v>59508</v>
      </c>
      <c r="E13" s="8">
        <f>E10*Assumptions!$G$11*(1+Assumptions!$G$15)^(E7-1)</f>
        <v>60328.8</v>
      </c>
      <c r="F13" s="8">
        <f>F10*Assumptions!$G$11*(1+Assumptions!$G$15)^(F7-1)</f>
        <v>63612</v>
      </c>
      <c r="G13" s="8">
        <f>G10*Assumptions!$G$11*(1+Assumptions!$G$15)^(G7-1)</f>
        <v>67633.92</v>
      </c>
      <c r="H13" s="8">
        <f>H10*Assumptions!$G$11*(1+Assumptions!$G$15)^(H7-1)</f>
        <v>71101.8</v>
      </c>
      <c r="I13" s="8">
        <f>I10*Assumptions!$G$11*(1+Assumptions!$G$15)^(I7-1)</f>
        <v>78140.16</v>
      </c>
      <c r="J13" s="8">
        <f>J10*Assumptions!$G$11*(1+Assumptions!$G$15)^(J7-1)</f>
        <v>63201.6</v>
      </c>
      <c r="K13" s="8">
        <f>K10*Assumptions!$G$11*(1+Assumptions!$G$15)^(K7-1)</f>
        <v>70178.4</v>
      </c>
      <c r="L13" s="8">
        <f>L10*Assumptions!$G$11*(1+Assumptions!$G$15)^(L7-1)</f>
        <v>75924</v>
      </c>
      <c r="M13" s="8">
        <f>M10*Assumptions!$G$11*(1+Assumptions!$G$15)^(M7-1)</f>
        <v>77976</v>
      </c>
      <c r="N13" s="8">
        <f>N10*Assumptions!$G$11*(1+Assumptions!$G$15)^(N7-1)</f>
        <v>77627.16</v>
      </c>
      <c r="O13" s="8">
        <f>O10*Assumptions!$G$11*(1+Assumptions!$G$15)^(O7-1)</f>
        <v>78796.8</v>
      </c>
      <c r="P13" s="8">
        <f>P10*Assumptions!$G$11*(1+Assumptions!$G$15)^(P7-1)</f>
        <v>86655.96</v>
      </c>
      <c r="Q13" s="8">
        <f>Q10*Assumptions!$G$11*(1+Assumptions!$G$15)^(Q7-1)</f>
        <v>86994.1296</v>
      </c>
      <c r="R13" s="8">
        <f>R10*Assumptions!$G$11*(1+Assumptions!$G$15)^(R7-1)</f>
        <v>90883.08</v>
      </c>
      <c r="S13" s="8">
        <f>S10*Assumptions!$G$11*(1+Assumptions!$G$15)^(S7-1)</f>
        <v>95786.5392</v>
      </c>
      <c r="T13" s="8">
        <f>T10*Assumptions!$G$11*(1+Assumptions!$G$15)^(T7-1)</f>
        <v>99865.71</v>
      </c>
      <c r="U13" s="8">
        <f>U10*Assumptions!$G$11*(1+Assumptions!$G$15)^(U7-1)</f>
        <v>108890.6112</v>
      </c>
      <c r="V13" s="8">
        <f>V10*Assumptions!$G$11*(1+Assumptions!$G$15)^(V7-1)</f>
        <v>87416.8416</v>
      </c>
      <c r="W13" s="8">
        <f>W10*Assumptions!$G$11*(1+Assumptions!$G$15)^(W7-1)</f>
        <v>96378.336</v>
      </c>
      <c r="X13" s="8">
        <f>X10*Assumptions!$G$11*(1+Assumptions!$G$15)^(X7-1)</f>
        <v>103564.44</v>
      </c>
      <c r="Y13" s="8">
        <f>Y10*Assumptions!$G$11*(1+Assumptions!$G$15)^(Y7-1)</f>
        <v>105678</v>
      </c>
      <c r="Z13" s="8">
        <f>Z10*Assumptions!$G$11*(1+Assumptions!$G$15)^(Z7-1)</f>
        <v>104557.8132</v>
      </c>
      <c r="AA13" s="8">
        <f>AA10*Assumptions!$G$11*(1+Assumptions!$G$15)^(AA7-1)</f>
        <v>105508.9152</v>
      </c>
      <c r="AB13" s="25">
        <f>SUM(D13:O13)</f>
        <v>844028.64</v>
      </c>
      <c r="AC13" s="25">
        <f>SUM(P13:AA13)</f>
        <v>1172180.376</v>
      </c>
    </row>
    <row r="14">
      <c r="B14" t="inlineStr">
        <is>
          <t>Online revenue</t>
        </is>
      </c>
      <c r="D14" s="8">
        <f>D11*Assumptions!$G$14*(1+Assumptions!$G$15)^(D7-1)</f>
        <v>43200</v>
      </c>
      <c r="E14" s="8">
        <f>E11*Assumptions!$G$14*(1+Assumptions!$G$15)^(E7-1)</f>
        <v>43182.72</v>
      </c>
      <c r="F14" s="8">
        <f>F11*Assumptions!$G$14*(1+Assumptions!$G$15)^(F7-1)</f>
        <v>44945.28</v>
      </c>
      <c r="G14" s="8">
        <f>G11*Assumptions!$G$14*(1+Assumptions!$G$15)^(G7-1)</f>
        <v>47219.511168</v>
      </c>
      <c r="H14" s="8">
        <f>H11*Assumptions!$G$14*(1+Assumptions!$G$15)^(H7-1)</f>
        <v>49099.1227776</v>
      </c>
      <c r="I14" s="8">
        <f>I11*Assumptions!$G$14*(1+Assumptions!$G$15)^(I7-1)</f>
        <v>53419.8455820288</v>
      </c>
      <c r="J14" s="8">
        <f>J11*Assumptions!$G$14*(1+Assumptions!$G$15)^(J7-1)</f>
        <v>42812.1905307402</v>
      </c>
      <c r="K14" s="8">
        <f>K11*Assumptions!$G$14*(1+Assumptions!$G$15)^(K7-1)</f>
        <v>47142.0598003264</v>
      </c>
      <c r="L14" s="8">
        <f>L11*Assumptions!$G$14*(1+Assumptions!$G$15)^(L7-1)</f>
        <v>50615.6852592979</v>
      </c>
      <c r="M14" s="8">
        <f>M11*Assumptions!$G$14*(1+Assumptions!$G$15)^(M7-1)</f>
        <v>51627.9989644838</v>
      </c>
      <c r="N14" s="8">
        <f>N11*Assumptions!$G$14*(1+Assumptions!$G$15)^(N7-1)</f>
        <v>51080.7421754603</v>
      </c>
      <c r="O14" s="8">
        <f>O11*Assumptions!$G$14*(1+Assumptions!$G$15)^(O7-1)</f>
        <v>51565.219317743</v>
      </c>
      <c r="P14" s="8">
        <f>P11*Assumptions!$G$14*(1+Assumptions!$G$15)^(P7-1)</f>
        <v>56431.686890855</v>
      </c>
      <c r="Q14" s="8">
        <f>Q11*Assumptions!$G$14*(1+Assumptions!$G$15)^(Q7-1)</f>
        <v>56409.1142160987</v>
      </c>
      <c r="R14" s="8">
        <f>R11*Assumptions!$G$14*(1+Assumptions!$G$15)^(R7-1)</f>
        <v>58711.5270412456</v>
      </c>
      <c r="S14" s="8">
        <f>S11*Assumptions!$G$14*(1+Assumptions!$G$15)^(S7-1)</f>
        <v>61682.3303095326</v>
      </c>
      <c r="T14" s="8">
        <f>T11*Assumptions!$G$14*(1+Assumptions!$G$15)^(T7-1)</f>
        <v>64137.6463703975</v>
      </c>
      <c r="U14" s="8">
        <f>U11*Assumptions!$G$14*(1+Assumptions!$G$15)^(U7-1)</f>
        <v>69781.7592509925</v>
      </c>
      <c r="V14" s="8">
        <f>V11*Assumptions!$G$14*(1+Assumptions!$G$15)^(V7-1)</f>
        <v>55925.0956282954</v>
      </c>
      <c r="W14" s="8">
        <f>W11*Assumptions!$G$14*(1+Assumptions!$G$15)^(W7-1)</f>
        <v>61581.1564361571</v>
      </c>
      <c r="X14" s="8">
        <f>X11*Assumptions!$G$14*(1+Assumptions!$G$15)^(X7-1)</f>
        <v>66118.7153314529</v>
      </c>
      <c r="Y14" s="8">
        <f>Y11*Assumptions!$G$14*(1+Assumptions!$G$15)^(Y7-1)</f>
        <v>67441.0896380819</v>
      </c>
      <c r="Z14" s="8">
        <f>Z11*Assumptions!$G$14*(1+Assumptions!$G$15)^(Z7-1)</f>
        <v>66726.2140879183</v>
      </c>
      <c r="AA14" s="8">
        <f>AA11*Assumptions!$G$14*(1+Assumptions!$G$15)^(AA7-1)</f>
        <v>67359.081273082</v>
      </c>
      <c r="AB14" s="25">
        <f>SUM(D14:O14)</f>
        <v>575910.375575681</v>
      </c>
      <c r="AC14" s="25">
        <f>SUM(P14:AA14)</f>
        <v>752305.41647411</v>
      </c>
    </row>
    <row r="15">
      <c r="B15" s="3" t="inlineStr">
        <is>
          <t>Total revenue</t>
        </is>
      </c>
      <c r="D15" s="26">
        <f>D13+D14</f>
        <v>102708</v>
      </c>
      <c r="E15" s="26">
        <f>E13+E14</f>
        <v>103511.52</v>
      </c>
      <c r="F15" s="26">
        <f>F13+F14</f>
        <v>108557.28</v>
      </c>
      <c r="G15" s="26">
        <f>G13+G14</f>
        <v>114853.431168</v>
      </c>
      <c r="H15" s="26">
        <f>H13+H14</f>
        <v>120200.9227776</v>
      </c>
      <c r="I15" s="26">
        <f>I13+I14</f>
        <v>131560.005582029</v>
      </c>
      <c r="J15" s="26">
        <f>J13+J14</f>
        <v>106013.79053074</v>
      </c>
      <c r="K15" s="26">
        <f>K13+K14</f>
        <v>117320.459800326</v>
      </c>
      <c r="L15" s="26">
        <f>L13+L14</f>
        <v>126539.685259298</v>
      </c>
      <c r="M15" s="26">
        <f>M13+M14</f>
        <v>129603.998964484</v>
      </c>
      <c r="N15" s="26">
        <f>N13+N14</f>
        <v>128707.90217546</v>
      </c>
      <c r="O15" s="26">
        <f>O13+O14</f>
        <v>130362.019317743</v>
      </c>
      <c r="P15" s="26">
        <f>P13+P14</f>
        <v>143087.646890855</v>
      </c>
      <c r="Q15" s="26">
        <f>Q13+Q14</f>
        <v>143403.243816099</v>
      </c>
      <c r="R15" s="26">
        <f>R13+R14</f>
        <v>149594.607041246</v>
      </c>
      <c r="S15" s="26">
        <f>S13+S14</f>
        <v>157468.869509533</v>
      </c>
      <c r="T15" s="26">
        <f>T13+T14</f>
        <v>164003.356370398</v>
      </c>
      <c r="U15" s="26">
        <f>U13+U14</f>
        <v>178672.370450993</v>
      </c>
      <c r="V15" s="26">
        <f>V13+V14</f>
        <v>143341.937228295</v>
      </c>
      <c r="W15" s="26">
        <f>W13+W14</f>
        <v>157959.492436157</v>
      </c>
      <c r="X15" s="26">
        <f>X13+X14</f>
        <v>169683.155331453</v>
      </c>
      <c r="Y15" s="26">
        <f>Y13+Y14</f>
        <v>173119.089638082</v>
      </c>
      <c r="Z15" s="26">
        <f>Z13+Z14</f>
        <v>171284.027287918</v>
      </c>
      <c r="AA15" s="26">
        <f>AA13+AA14</f>
        <v>172867.996473082</v>
      </c>
      <c r="AB15" s="25">
        <f>SUM(D15:O15)</f>
        <v>1419939.01557568</v>
      </c>
      <c r="AC15" s="25">
        <f>SUM(P15:AA15)</f>
        <v>1924485.79247411</v>
      </c>
    </row>
    <row r="16">
      <c r="B16" t="inlineStr">
        <is>
          <t>Cost of goods</t>
        </is>
      </c>
      <c r="D16" s="8">
        <f>-D15*Assumptions!$G$16</f>
        <v>-34920.72</v>
      </c>
      <c r="E16" s="8">
        <f>-E15*Assumptions!$G$16</f>
        <v>-35193.9168</v>
      </c>
      <c r="F16" s="8">
        <f>-F15*Assumptions!$G$16</f>
        <v>-36909.4752</v>
      </c>
      <c r="G16" s="8">
        <f>-G15*Assumptions!$G$16</f>
        <v>-39050.16659712</v>
      </c>
      <c r="H16" s="8">
        <f>-H15*Assumptions!$G$16</f>
        <v>-40868.313744384</v>
      </c>
      <c r="I16" s="8">
        <f>-I15*Assumptions!$G$16</f>
        <v>-44730.4018978898</v>
      </c>
      <c r="J16" s="8">
        <f>-J15*Assumptions!$G$16</f>
        <v>-36044.6887804517</v>
      </c>
      <c r="K16" s="8">
        <f>-K15*Assumptions!$G$16</f>
        <v>-39888.956332111</v>
      </c>
      <c r="L16" s="8">
        <f>-L15*Assumptions!$G$16</f>
        <v>-43023.4929881613</v>
      </c>
      <c r="M16" s="8">
        <f>-M15*Assumptions!$G$16</f>
        <v>-44065.3596479245</v>
      </c>
      <c r="N16" s="8">
        <f>-N15*Assumptions!$G$16</f>
        <v>-43760.6867396565</v>
      </c>
      <c r="O16" s="8">
        <f>-O15*Assumptions!$G$16</f>
        <v>-44323.0865680326</v>
      </c>
      <c r="P16" s="8">
        <f>-P15*Assumptions!$G$16</f>
        <v>-48649.7999428907</v>
      </c>
      <c r="Q16" s="8">
        <f>-Q15*Assumptions!$G$16</f>
        <v>-48757.1028974736</v>
      </c>
      <c r="R16" s="8">
        <f>-R15*Assumptions!$G$16</f>
        <v>-50862.1663940235</v>
      </c>
      <c r="S16" s="8">
        <f>-S15*Assumptions!$G$16</f>
        <v>-53539.4156332411</v>
      </c>
      <c r="T16" s="8">
        <f>-T15*Assumptions!$G$16</f>
        <v>-55761.1411659352</v>
      </c>
      <c r="U16" s="8">
        <f>-U15*Assumptions!$G$16</f>
        <v>-60748.6059533375</v>
      </c>
      <c r="V16" s="8">
        <f>-V15*Assumptions!$G$16</f>
        <v>-48736.2586576204</v>
      </c>
      <c r="W16" s="8">
        <f>-W15*Assumptions!$G$16</f>
        <v>-53706.2274282934</v>
      </c>
      <c r="X16" s="8">
        <f>-X15*Assumptions!$G$16</f>
        <v>-57692.272812694</v>
      </c>
      <c r="Y16" s="8">
        <f>-Y15*Assumptions!$G$16</f>
        <v>-58860.4904769479</v>
      </c>
      <c r="Z16" s="8">
        <f>-Z15*Assumptions!$G$16</f>
        <v>-58236.5692778922</v>
      </c>
      <c r="AA16" s="8">
        <f>-AA15*Assumptions!$G$16</f>
        <v>-58775.1188008479</v>
      </c>
      <c r="AB16" s="25">
        <f>SUM(D16:O16)</f>
        <v>-482779.265295731</v>
      </c>
      <c r="AC16" s="25">
        <f>SUM(P16:AA16)</f>
        <v>-654325.169441197</v>
      </c>
    </row>
    <row r="17">
      <c r="B17" t="inlineStr">
        <is>
          <t>Online platform &amp; payment fees</t>
        </is>
      </c>
      <c r="D17" s="8">
        <f>-D14*Assumptions!$G$17</f>
        <v>-3888</v>
      </c>
      <c r="E17" s="8">
        <f>-E14*Assumptions!$G$17</f>
        <v>-3886.4448</v>
      </c>
      <c r="F17" s="8">
        <f>-F14*Assumptions!$G$17</f>
        <v>-4045.0752</v>
      </c>
      <c r="G17" s="8">
        <f>-G14*Assumptions!$G$17</f>
        <v>-4249.75600512</v>
      </c>
      <c r="H17" s="8">
        <f>-H14*Assumptions!$G$17</f>
        <v>-4418.921049984</v>
      </c>
      <c r="I17" s="8">
        <f>-I14*Assumptions!$G$17</f>
        <v>-4807.78610238259</v>
      </c>
      <c r="J17" s="8">
        <f>-J14*Assumptions!$G$17</f>
        <v>-3853.09714776662</v>
      </c>
      <c r="K17" s="8">
        <f>-K14*Assumptions!$G$17</f>
        <v>-4242.78538202938</v>
      </c>
      <c r="L17" s="8">
        <f>-L14*Assumptions!$G$17</f>
        <v>-4555.41167333681</v>
      </c>
      <c r="M17" s="8">
        <f>-M14*Assumptions!$G$17</f>
        <v>-4646.51990680355</v>
      </c>
      <c r="N17" s="8">
        <f>-N14*Assumptions!$G$17</f>
        <v>-4597.26679579143</v>
      </c>
      <c r="O17" s="8">
        <f>-O14*Assumptions!$G$17</f>
        <v>-4640.86973859687</v>
      </c>
      <c r="P17" s="8">
        <f>-P14*Assumptions!$G$17</f>
        <v>-5078.85182017695</v>
      </c>
      <c r="Q17" s="8">
        <f>-Q14*Assumptions!$G$17</f>
        <v>-5076.82027944888</v>
      </c>
      <c r="R17" s="8">
        <f>-R14*Assumptions!$G$17</f>
        <v>-5284.0374337121</v>
      </c>
      <c r="S17" s="8">
        <f>-S14*Assumptions!$G$17</f>
        <v>-5551.40972785793</v>
      </c>
      <c r="T17" s="8">
        <f>-T14*Assumptions!$G$17</f>
        <v>-5772.38817333578</v>
      </c>
      <c r="U17" s="8">
        <f>-U14*Assumptions!$G$17</f>
        <v>-6280.35833258932</v>
      </c>
      <c r="V17" s="8">
        <f>-V14*Assumptions!$G$17</f>
        <v>-5033.25860654659</v>
      </c>
      <c r="W17" s="8">
        <f>-W14*Assumptions!$G$17</f>
        <v>-5542.30407925414</v>
      </c>
      <c r="X17" s="8">
        <f>-X14*Assumptions!$G$17</f>
        <v>-5950.68437983076</v>
      </c>
      <c r="Y17" s="8">
        <f>-Y14*Assumptions!$G$17</f>
        <v>-6069.69806742737</v>
      </c>
      <c r="Z17" s="8">
        <f>-Z14*Assumptions!$G$17</f>
        <v>-6005.35926791264</v>
      </c>
      <c r="AA17" s="8">
        <f>-AA14*Assumptions!$G$17</f>
        <v>-6062.31731457738</v>
      </c>
      <c r="AB17" s="25">
        <f>SUM(D17:O17)</f>
        <v>-51831.9338018113</v>
      </c>
      <c r="AC17" s="25">
        <f>SUM(P17:AA17)</f>
        <v>-67707.4874826699</v>
      </c>
    </row>
    <row r="18">
      <c r="B18" s="3" t="inlineStr">
        <is>
          <t>Gross profit</t>
        </is>
      </c>
      <c r="D18" s="26">
        <f>D15+D16+D17</f>
        <v>63899.28</v>
      </c>
      <c r="E18" s="26">
        <f>E15+E16+E17</f>
        <v>64431.1584</v>
      </c>
      <c r="F18" s="26">
        <f>F15+F16+F17</f>
        <v>67602.7296</v>
      </c>
      <c r="G18" s="26">
        <f>G15+G16+G17</f>
        <v>71553.50856576</v>
      </c>
      <c r="H18" s="26">
        <f>H15+H16+H17</f>
        <v>74913.687983232</v>
      </c>
      <c r="I18" s="26">
        <f>I15+I16+I17</f>
        <v>82021.8175817564</v>
      </c>
      <c r="J18" s="26">
        <f>J15+J16+J17</f>
        <v>66116.0046025219</v>
      </c>
      <c r="K18" s="26">
        <f>K15+K16+K17</f>
        <v>73188.7180861861</v>
      </c>
      <c r="L18" s="26">
        <f>L15+L16+L17</f>
        <v>78960.7805977998</v>
      </c>
      <c r="M18" s="26">
        <f>M15+M16+M17</f>
        <v>80892.1194097558</v>
      </c>
      <c r="N18" s="26">
        <f>N15+N16+N17</f>
        <v>80349.9486400124</v>
      </c>
      <c r="O18" s="26">
        <f>O15+O16+O17</f>
        <v>81398.0630111135</v>
      </c>
      <c r="P18" s="26">
        <f>P15+P16+P17</f>
        <v>89358.9951277874</v>
      </c>
      <c r="Q18" s="26">
        <f>Q15+Q16+Q17</f>
        <v>89569.3206391762</v>
      </c>
      <c r="R18" s="26">
        <f>R15+R16+R17</f>
        <v>93448.40321351</v>
      </c>
      <c r="S18" s="26">
        <f>S15+S16+S17</f>
        <v>98378.0441484336</v>
      </c>
      <c r="T18" s="26">
        <f>T15+T16+T17</f>
        <v>102469.827031127</v>
      </c>
      <c r="U18" s="26">
        <f>U15+U16+U17</f>
        <v>111643.406165066</v>
      </c>
      <c r="V18" s="26">
        <f>V15+V16+V17</f>
        <v>89572.4199641284</v>
      </c>
      <c r="W18" s="26">
        <f>W15+W16+W17</f>
        <v>98710.9609286095</v>
      </c>
      <c r="X18" s="26">
        <f>X15+X16+X17</f>
        <v>106040.198138928</v>
      </c>
      <c r="Y18" s="26">
        <f>Y15+Y16+Y17</f>
        <v>108188.901093707</v>
      </c>
      <c r="Z18" s="26">
        <f>Z15+Z16+Z17</f>
        <v>107042.098742113</v>
      </c>
      <c r="AA18" s="26">
        <f>AA15+AA16+AA17</f>
        <v>108030.560357657</v>
      </c>
      <c r="AB18" s="25">
        <f>SUM(D18:O18)</f>
        <v>885327.816478138</v>
      </c>
      <c r="AC18" s="25">
        <f>SUM(P18:AA18)</f>
        <v>1202453.13555024</v>
      </c>
    </row>
    <row r="19">
      <c r="B19" t="inlineStr">
        <is>
          <t>Gross margin %</t>
        </is>
      </c>
      <c r="D19" s="27">
        <f>IF(D15=0,0,D18/D15)</f>
        <v>0.622145110410095</v>
      </c>
      <c r="E19" s="27">
        <f>IF(E15=0,0,E18/E15)</f>
        <v>0.622453987730061</v>
      </c>
      <c r="F19" s="27">
        <f>IF(F15=0,0,F18/F15)</f>
        <v>0.6227378725775</v>
      </c>
      <c r="G19" s="27">
        <f>IF(G15=0,0,G18/G15)</f>
        <v>0.622998441040009</v>
      </c>
      <c r="H19" s="27">
        <f>IF(H15=0,0,H18/H15)</f>
        <v>0.623237211929229</v>
      </c>
      <c r="I19" s="27">
        <f>IF(I15=0,0,I18/I15)</f>
        <v>0.62345556477356</v>
      </c>
      <c r="J19" s="27">
        <f>IF(J15=0,0,J18/J15)</f>
        <v>0.623654755400437</v>
      </c>
      <c r="K19" s="27">
        <f>IF(K15=0,0,K18/K15)</f>
        <v>0.623835929476833</v>
      </c>
      <c r="L19" s="27">
        <f>IF(L15=0,0,L18/L15)</f>
        <v>0.624000134313578</v>
      </c>
      <c r="M19" s="27">
        <f>IF(M15=0,0,M18/M15)</f>
        <v>0.624148329187922</v>
      </c>
      <c r="N19" s="27">
        <f>IF(N15=0,0,N18/N15)</f>
        <v>0.624281394397026</v>
      </c>
      <c r="O19" s="27">
        <f>IF(O15=0,0,O18/O15)</f>
        <v>0.624400139220878</v>
      </c>
      <c r="P19" s="27">
        <f>IF(P15=0,0,P18/P15)</f>
        <v>0.624505308945006</v>
      </c>
      <c r="Q19" s="27">
        <f>IF(Q15=0,0,Q18/Q15)</f>
        <v>0.62459759107012</v>
      </c>
      <c r="R19" s="27">
        <f>IF(R15=0,0,R18/R15)</f>
        <v>0.624677620816536</v>
      </c>
      <c r="S19" s="27">
        <f>IF(S15=0,0,S18/S15)</f>
        <v>0.624745986015211</v>
      </c>
      <c r="T19" s="27">
        <f>IF(T15=0,0,T18/T15)</f>
        <v>0.624803231463758</v>
      </c>
      <c r="U19" s="27">
        <f>IF(U15=0,0,U18/U15)</f>
        <v>0.624849862814621</v>
      </c>
      <c r="V19" s="27">
        <f>IF(V15=0,0,V18/V15)</f>
        <v>0.624886350053088</v>
      </c>
      <c r="W19" s="27">
        <f>IF(W15=0,0,W18/W15)</f>
        <v>0.624913130614837</v>
      </c>
      <c r="X19" s="27">
        <f>IF(X15=0,0,X18/X15)</f>
        <v>0.624930612185948</v>
      </c>
      <c r="Y19" s="27">
        <f>IF(Y15=0,0,Y18/Y15)</f>
        <v>0.624939175222579</v>
      </c>
      <c r="Z19" s="27">
        <f>IF(Z15=0,0,Z18/Z15)</f>
        <v>0.624939175222579</v>
      </c>
      <c r="AA19" s="27">
        <f>IF(AA15=0,0,AA18/AA15)</f>
        <v>0.624930944777153</v>
      </c>
      <c r="AB19" s="27">
        <f>IF(AB15=0,0,AB18/AB15)</f>
        <v>0.62349707048454</v>
      </c>
      <c r="AC19" s="27">
        <f>IF(AC15=0,0,AC18/AC15)</f>
        <v>0.624817881354361</v>
      </c>
    </row>
    <row r="21">
      <c r="B21" t="inlineStr">
        <is>
          <t>Wages and on-costs</t>
        </is>
      </c>
      <c r="D21" s="8">
        <f>-Assumptions!$G$18*(1+Assumptions!$G$19)^(D7-1)</f>
        <v>-41000</v>
      </c>
      <c r="E21" s="8">
        <f>-Assumptions!$G$18*(1+Assumptions!$G$19)^(E7-1)</f>
        <v>-41000</v>
      </c>
      <c r="F21" s="8">
        <f>-Assumptions!$G$18*(1+Assumptions!$G$19)^(F7-1)</f>
        <v>-41000</v>
      </c>
      <c r="G21" s="8">
        <f>-Assumptions!$G$18*(1+Assumptions!$G$19)^(G7-1)</f>
        <v>-41000</v>
      </c>
      <c r="H21" s="8">
        <f>-Assumptions!$G$18*(1+Assumptions!$G$19)^(H7-1)</f>
        <v>-41000</v>
      </c>
      <c r="I21" s="8">
        <f>-Assumptions!$G$18*(1+Assumptions!$G$19)^(I7-1)</f>
        <v>-41000</v>
      </c>
      <c r="J21" s="8">
        <f>-Assumptions!$G$18*(1+Assumptions!$G$19)^(J7-1)</f>
        <v>-41000</v>
      </c>
      <c r="K21" s="8">
        <f>-Assumptions!$G$18*(1+Assumptions!$G$19)^(K7-1)</f>
        <v>-41000</v>
      </c>
      <c r="L21" s="8">
        <f>-Assumptions!$G$18*(1+Assumptions!$G$19)^(L7-1)</f>
        <v>-41000</v>
      </c>
      <c r="M21" s="8">
        <f>-Assumptions!$G$18*(1+Assumptions!$G$19)^(M7-1)</f>
        <v>-41000</v>
      </c>
      <c r="N21" s="8">
        <f>-Assumptions!$G$18*(1+Assumptions!$G$19)^(N7-1)</f>
        <v>-41000</v>
      </c>
      <c r="O21" s="8">
        <f>-Assumptions!$G$18*(1+Assumptions!$G$19)^(O7-1)</f>
        <v>-41000</v>
      </c>
      <c r="P21" s="8">
        <f>-Assumptions!$G$18*(1+Assumptions!$G$19)^(P7-1)</f>
        <v>-42230</v>
      </c>
      <c r="Q21" s="8">
        <f>-Assumptions!$G$18*(1+Assumptions!$G$19)^(Q7-1)</f>
        <v>-42230</v>
      </c>
      <c r="R21" s="8">
        <f>-Assumptions!$G$18*(1+Assumptions!$G$19)^(R7-1)</f>
        <v>-42230</v>
      </c>
      <c r="S21" s="8">
        <f>-Assumptions!$G$18*(1+Assumptions!$G$19)^(S7-1)</f>
        <v>-42230</v>
      </c>
      <c r="T21" s="8">
        <f>-Assumptions!$G$18*(1+Assumptions!$G$19)^(T7-1)</f>
        <v>-42230</v>
      </c>
      <c r="U21" s="8">
        <f>-Assumptions!$G$18*(1+Assumptions!$G$19)^(U7-1)</f>
        <v>-42230</v>
      </c>
      <c r="V21" s="8">
        <f>-Assumptions!$G$18*(1+Assumptions!$G$19)^(V7-1)</f>
        <v>-42230</v>
      </c>
      <c r="W21" s="8">
        <f>-Assumptions!$G$18*(1+Assumptions!$G$19)^(W7-1)</f>
        <v>-42230</v>
      </c>
      <c r="X21" s="8">
        <f>-Assumptions!$G$18*(1+Assumptions!$G$19)^(X7-1)</f>
        <v>-42230</v>
      </c>
      <c r="Y21" s="8">
        <f>-Assumptions!$G$18*(1+Assumptions!$G$19)^(Y7-1)</f>
        <v>-42230</v>
      </c>
      <c r="Z21" s="8">
        <f>-Assumptions!$G$18*(1+Assumptions!$G$19)^(Z7-1)</f>
        <v>-42230</v>
      </c>
      <c r="AA21" s="8">
        <f>-Assumptions!$G$18*(1+Assumptions!$G$19)^(AA7-1)</f>
        <v>-42230</v>
      </c>
      <c r="AB21" s="25">
        <f>SUM(D21:O21)</f>
        <v>-492000</v>
      </c>
      <c r="AC21" s="25">
        <f>SUM(P21:AA21)</f>
        <v>-506760</v>
      </c>
    </row>
    <row r="22">
      <c r="B22" t="inlineStr">
        <is>
          <t>Rent</t>
        </is>
      </c>
      <c r="D22" s="8">
        <f>-Assumptions!$G$20</f>
        <v>-7800</v>
      </c>
      <c r="E22" s="8">
        <f>-Assumptions!$G$20</f>
        <v>-7800</v>
      </c>
      <c r="F22" s="8">
        <f>-Assumptions!$G$20</f>
        <v>-7800</v>
      </c>
      <c r="G22" s="8">
        <f>-Assumptions!$G$20</f>
        <v>-7800</v>
      </c>
      <c r="H22" s="8">
        <f>-Assumptions!$G$20</f>
        <v>-7800</v>
      </c>
      <c r="I22" s="8">
        <f>-Assumptions!$G$20</f>
        <v>-7800</v>
      </c>
      <c r="J22" s="8">
        <f>-Assumptions!$G$20</f>
        <v>-7800</v>
      </c>
      <c r="K22" s="8">
        <f>-Assumptions!$G$20</f>
        <v>-7800</v>
      </c>
      <c r="L22" s="8">
        <f>-Assumptions!$G$20</f>
        <v>-7800</v>
      </c>
      <c r="M22" s="8">
        <f>-Assumptions!$G$20</f>
        <v>-7800</v>
      </c>
      <c r="N22" s="8">
        <f>-Assumptions!$G$20</f>
        <v>-7800</v>
      </c>
      <c r="O22" s="8">
        <f>-Assumptions!$G$20</f>
        <v>-7800</v>
      </c>
      <c r="P22" s="8">
        <f>-Assumptions!$G$20</f>
        <v>-7800</v>
      </c>
      <c r="Q22" s="8">
        <f>-Assumptions!$G$20</f>
        <v>-7800</v>
      </c>
      <c r="R22" s="8">
        <f>-Assumptions!$G$20</f>
        <v>-7800</v>
      </c>
      <c r="S22" s="8">
        <f>-Assumptions!$G$20</f>
        <v>-7800</v>
      </c>
      <c r="T22" s="8">
        <f>-Assumptions!$G$20</f>
        <v>-7800</v>
      </c>
      <c r="U22" s="8">
        <f>-Assumptions!$G$20</f>
        <v>-7800</v>
      </c>
      <c r="V22" s="8">
        <f>-Assumptions!$G$20</f>
        <v>-7800</v>
      </c>
      <c r="W22" s="8">
        <f>-Assumptions!$G$20</f>
        <v>-7800</v>
      </c>
      <c r="X22" s="8">
        <f>-Assumptions!$G$20</f>
        <v>-7800</v>
      </c>
      <c r="Y22" s="8">
        <f>-Assumptions!$G$20</f>
        <v>-7800</v>
      </c>
      <c r="Z22" s="8">
        <f>-Assumptions!$G$20</f>
        <v>-7800</v>
      </c>
      <c r="AA22" s="8">
        <f>-Assumptions!$G$20</f>
        <v>-7800</v>
      </c>
      <c r="AB22" s="25">
        <f>SUM(D22:O22)</f>
        <v>-93600</v>
      </c>
      <c r="AC22" s="25">
        <f>SUM(P22:AA22)</f>
        <v>-93600</v>
      </c>
    </row>
    <row r="23">
      <c r="B23" t="inlineStr">
        <is>
          <t>Marketing</t>
        </is>
      </c>
      <c r="D23" s="8">
        <f>-D15*Assumptions!$G$21</f>
        <v>-4108.32</v>
      </c>
      <c r="E23" s="8">
        <f>-E15*Assumptions!$G$21</f>
        <v>-4140.4608</v>
      </c>
      <c r="F23" s="8">
        <f>-F15*Assumptions!$G$21</f>
        <v>-4342.2912</v>
      </c>
      <c r="G23" s="8">
        <f>-G15*Assumptions!$G$21</f>
        <v>-4594.13724672</v>
      </c>
      <c r="H23" s="8">
        <f>-H15*Assumptions!$G$21</f>
        <v>-4808.036911104</v>
      </c>
      <c r="I23" s="8">
        <f>-I15*Assumptions!$G$21</f>
        <v>-5262.40022328115</v>
      </c>
      <c r="J23" s="8">
        <f>-J15*Assumptions!$G$21</f>
        <v>-4240.55162122961</v>
      </c>
      <c r="K23" s="8">
        <f>-K15*Assumptions!$G$21</f>
        <v>-4692.81839201306</v>
      </c>
      <c r="L23" s="8">
        <f>-L15*Assumptions!$G$21</f>
        <v>-5061.58741037192</v>
      </c>
      <c r="M23" s="8">
        <f>-M15*Assumptions!$G$21</f>
        <v>-5184.15995857935</v>
      </c>
      <c r="N23" s="8">
        <f>-N15*Assumptions!$G$21</f>
        <v>-5148.31608701841</v>
      </c>
      <c r="O23" s="8">
        <f>-O15*Assumptions!$G$21</f>
        <v>-5214.48077270972</v>
      </c>
      <c r="P23" s="8">
        <f>-P15*Assumptions!$G$21</f>
        <v>-5723.5058756342</v>
      </c>
      <c r="Q23" s="8">
        <f>-Q15*Assumptions!$G$21</f>
        <v>-5736.12975264395</v>
      </c>
      <c r="R23" s="8">
        <f>-R15*Assumptions!$G$21</f>
        <v>-5983.78428164982</v>
      </c>
      <c r="S23" s="8">
        <f>-S15*Assumptions!$G$21</f>
        <v>-6298.75478038131</v>
      </c>
      <c r="T23" s="8">
        <f>-T15*Assumptions!$G$21</f>
        <v>-6560.1342548159</v>
      </c>
      <c r="U23" s="8">
        <f>-U15*Assumptions!$G$21</f>
        <v>-7146.8948180397</v>
      </c>
      <c r="V23" s="8">
        <f>-V15*Assumptions!$G$21</f>
        <v>-5733.67748913182</v>
      </c>
      <c r="W23" s="8">
        <f>-W15*Assumptions!$G$21</f>
        <v>-6318.37969744628</v>
      </c>
      <c r="X23" s="8">
        <f>-X15*Assumptions!$G$21</f>
        <v>-6787.32621325812</v>
      </c>
      <c r="Y23" s="8">
        <f>-Y15*Assumptions!$G$21</f>
        <v>-6924.76358552328</v>
      </c>
      <c r="Z23" s="8">
        <f>-Z15*Assumptions!$G$21</f>
        <v>-6851.36109151673</v>
      </c>
      <c r="AA23" s="8">
        <f>-AA15*Assumptions!$G$21</f>
        <v>-6914.71985892328</v>
      </c>
      <c r="AB23" s="25">
        <f>SUM(D23:O23)</f>
        <v>-56797.5606230272</v>
      </c>
      <c r="AC23" s="25">
        <f>SUM(P23:AA23)</f>
        <v>-76979.4316989644</v>
      </c>
    </row>
    <row r="24">
      <c r="B24" t="inlineStr">
        <is>
          <t>Other overheads</t>
        </is>
      </c>
      <c r="D24" s="8">
        <f>-Assumptions!$G$22</f>
        <v>-6500</v>
      </c>
      <c r="E24" s="8">
        <f>-Assumptions!$G$22</f>
        <v>-6500</v>
      </c>
      <c r="F24" s="8">
        <f>-Assumptions!$G$22</f>
        <v>-6500</v>
      </c>
      <c r="G24" s="8">
        <f>-Assumptions!$G$22</f>
        <v>-6500</v>
      </c>
      <c r="H24" s="8">
        <f>-Assumptions!$G$22</f>
        <v>-6500</v>
      </c>
      <c r="I24" s="8">
        <f>-Assumptions!$G$22</f>
        <v>-6500</v>
      </c>
      <c r="J24" s="8">
        <f>-Assumptions!$G$22</f>
        <v>-6500</v>
      </c>
      <c r="K24" s="8">
        <f>-Assumptions!$G$22</f>
        <v>-6500</v>
      </c>
      <c r="L24" s="8">
        <f>-Assumptions!$G$22</f>
        <v>-6500</v>
      </c>
      <c r="M24" s="8">
        <f>-Assumptions!$G$22</f>
        <v>-6500</v>
      </c>
      <c r="N24" s="8">
        <f>-Assumptions!$G$22</f>
        <v>-6500</v>
      </c>
      <c r="O24" s="8">
        <f>-Assumptions!$G$22</f>
        <v>-6500</v>
      </c>
      <c r="P24" s="8">
        <f>-Assumptions!$G$22</f>
        <v>-6500</v>
      </c>
      <c r="Q24" s="8">
        <f>-Assumptions!$G$22</f>
        <v>-6500</v>
      </c>
      <c r="R24" s="8">
        <f>-Assumptions!$G$22</f>
        <v>-6500</v>
      </c>
      <c r="S24" s="8">
        <f>-Assumptions!$G$22</f>
        <v>-6500</v>
      </c>
      <c r="T24" s="8">
        <f>-Assumptions!$G$22</f>
        <v>-6500</v>
      </c>
      <c r="U24" s="8">
        <f>-Assumptions!$G$22</f>
        <v>-6500</v>
      </c>
      <c r="V24" s="8">
        <f>-Assumptions!$G$22</f>
        <v>-6500</v>
      </c>
      <c r="W24" s="8">
        <f>-Assumptions!$G$22</f>
        <v>-6500</v>
      </c>
      <c r="X24" s="8">
        <f>-Assumptions!$G$22</f>
        <v>-6500</v>
      </c>
      <c r="Y24" s="8">
        <f>-Assumptions!$G$22</f>
        <v>-6500</v>
      </c>
      <c r="Z24" s="8">
        <f>-Assumptions!$G$22</f>
        <v>-6500</v>
      </c>
      <c r="AA24" s="8">
        <f>-Assumptions!$G$22</f>
        <v>-6500</v>
      </c>
      <c r="AB24" s="25">
        <f>SUM(D24:O24)</f>
        <v>-78000</v>
      </c>
      <c r="AC24" s="25">
        <f>SUM(P24:AA24)</f>
        <v>-78000</v>
      </c>
    </row>
    <row r="25">
      <c r="B25" s="3" t="inlineStr">
        <is>
          <t>EBITDA</t>
        </is>
      </c>
      <c r="D25" s="26">
        <f>D18+SUM(D21:D24)</f>
        <v>4490.96</v>
      </c>
      <c r="E25" s="26">
        <f>E18+SUM(E21:E24)</f>
        <v>4990.69759999999</v>
      </c>
      <c r="F25" s="26">
        <f>F18+SUM(F21:F24)</f>
        <v>7960.43839999999</v>
      </c>
      <c r="G25" s="26">
        <f>G18+SUM(G21:G24)</f>
        <v>11659.37131904</v>
      </c>
      <c r="H25" s="26">
        <f>H18+SUM(H21:H24)</f>
        <v>14805.651072128</v>
      </c>
      <c r="I25" s="26">
        <f>I18+SUM(I21:I24)</f>
        <v>21459.4173584753</v>
      </c>
      <c r="J25" s="26">
        <f>J18+SUM(J21:J24)</f>
        <v>6575.45298129231</v>
      </c>
      <c r="K25" s="26">
        <f>K18+SUM(K21:K24)</f>
        <v>13195.899694173</v>
      </c>
      <c r="L25" s="26">
        <f>L18+SUM(L21:L24)</f>
        <v>18599.1931874279</v>
      </c>
      <c r="M25" s="26">
        <f>M18+SUM(M21:M24)</f>
        <v>20407.9594511764</v>
      </c>
      <c r="N25" s="26">
        <f>N18+SUM(N21:N24)</f>
        <v>19901.632552994</v>
      </c>
      <c r="O25" s="26">
        <f>O18+SUM(O21:O24)</f>
        <v>20883.5822384038</v>
      </c>
      <c r="P25" s="26">
        <f>P18+SUM(P21:P24)</f>
        <v>27105.4892521532</v>
      </c>
      <c r="Q25" s="26">
        <f>Q18+SUM(Q21:Q24)</f>
        <v>27303.1908865323</v>
      </c>
      <c r="R25" s="26">
        <f>R18+SUM(R21:R24)</f>
        <v>30934.6189318601</v>
      </c>
      <c r="S25" s="26">
        <f>S18+SUM(S21:S24)</f>
        <v>35549.2893680523</v>
      </c>
      <c r="T25" s="26">
        <f>T18+SUM(T21:T24)</f>
        <v>39379.6927763107</v>
      </c>
      <c r="U25" s="26">
        <f>U18+SUM(U21:U24)</f>
        <v>47966.511347026</v>
      </c>
      <c r="V25" s="26">
        <f>V18+SUM(V21:V24)</f>
        <v>27308.7424749966</v>
      </c>
      <c r="W25" s="26">
        <f>W18+SUM(W21:W24)</f>
        <v>35862.5812311632</v>
      </c>
      <c r="X25" s="26">
        <f>X18+SUM(X21:X24)</f>
        <v>42722.87192567</v>
      </c>
      <c r="Y25" s="26">
        <f>Y18+SUM(Y21:Y24)</f>
        <v>44734.1375081834</v>
      </c>
      <c r="Z25" s="26">
        <f>Z18+SUM(Z21:Z24)</f>
        <v>43660.7376505967</v>
      </c>
      <c r="AA25" s="26">
        <f>AA18+SUM(AA21:AA24)</f>
        <v>44585.8404987335</v>
      </c>
      <c r="AB25" s="25">
        <f>SUM(D25:O25)</f>
        <v>164930.255855111</v>
      </c>
      <c r="AC25" s="25">
        <f>SUM(P25:AA25)</f>
        <v>447113.703851278</v>
      </c>
    </row>
    <row r="26">
      <c r="B26" t="inlineStr">
        <is>
          <t>EBITDA margin %</t>
        </is>
      </c>
      <c r="D26" s="27">
        <f>IF(D15=0,0,D25/D15)</f>
        <v>0.0437255131051135</v>
      </c>
      <c r="E26" s="27">
        <f>IF(E15=0,0,E25/E15)</f>
        <v>0.0482139340626047</v>
      </c>
      <c r="F26" s="27">
        <f>IF(F15=0,0,F25/F15)</f>
        <v>0.0733293833449032</v>
      </c>
      <c r="G26" s="27">
        <f>IF(G15=0,0,G25/G15)</f>
        <v>0.101515219880418</v>
      </c>
      <c r="H26" s="27">
        <f>IF(H15=0,0,H25/H15)</f>
        <v>0.123174188101051</v>
      </c>
      <c r="I26" s="27">
        <f>IF(I15=0,0,I25/I15)</f>
        <v>0.163115053572228</v>
      </c>
      <c r="J26" s="27">
        <f>IF(J15=0,0,J25/J15)</f>
        <v>0.0620245059475132</v>
      </c>
      <c r="K26" s="27">
        <f>IF(K15=0,0,K25/K15)</f>
        <v>0.112477394962752</v>
      </c>
      <c r="L26" s="27">
        <f>IF(L15=0,0,L25/L15)</f>
        <v>0.146983083997052</v>
      </c>
      <c r="M26" s="27">
        <f>IF(M15=0,0,M25/M15)</f>
        <v>0.157463964185001</v>
      </c>
      <c r="N26" s="27">
        <f>IF(N15=0,0,N25/N15)</f>
        <v>0.154626345520442</v>
      </c>
      <c r="O26" s="27">
        <f>IF(O15=0,0,O25/O15)</f>
        <v>0.160196829933283</v>
      </c>
      <c r="P26" s="27">
        <f>IF(P15=0,0,P25/P15)</f>
        <v>0.189432769642433</v>
      </c>
      <c r="Q26" s="27">
        <f>IF(Q15=0,0,Q25/Q15)</f>
        <v>0.190394513819688</v>
      </c>
      <c r="R26" s="27">
        <f>IF(R15=0,0,R25/R15)</f>
        <v>0.206789666711254</v>
      </c>
      <c r="S26" s="27">
        <f>IF(S15=0,0,S25/S15)</f>
        <v>0.225754395003771</v>
      </c>
      <c r="T26" s="27">
        <f>IF(T15=0,0,T25/T15)</f>
        <v>0.240115163785872</v>
      </c>
      <c r="U26" s="27">
        <f>IF(U15=0,0,U25/U15)</f>
        <v>0.268460709543128</v>
      </c>
      <c r="V26" s="27">
        <f>IF(V15=0,0,V25/V15)</f>
        <v>0.190514674233145</v>
      </c>
      <c r="W26" s="27">
        <f>IF(W15=0,0,W25/W15)</f>
        <v>0.227036569173948</v>
      </c>
      <c r="X26" s="27">
        <f>IF(X15=0,0,X25/X15)</f>
        <v>0.251780277436595</v>
      </c>
      <c r="Y26" s="27">
        <f>IF(Y15=0,0,Y25/Y15)</f>
        <v>0.258400951632217</v>
      </c>
      <c r="Z26" s="27">
        <f>IF(Z15=0,0,Z25/Z15)</f>
        <v>0.254902563548471</v>
      </c>
      <c r="AA26" s="27">
        <f>IF(AA15=0,0,AA25/AA15)</f>
        <v>0.257918419883325</v>
      </c>
      <c r="AB26" s="27">
        <f>IF(AB15=0,0,AB25/AB15)</f>
        <v>0.116153055903069</v>
      </c>
      <c r="AC26" s="27">
        <f>IF(AC15=0,0,AC25/AC15)</f>
        <v>0.232328919028532</v>
      </c>
    </row>
    <row r="28">
      <c r="B28" t="inlineStr">
        <is>
          <t>Depreciation</t>
        </is>
      </c>
      <c r="D28" s="8">
        <f>-(Assumptions!$G$28+IF(D6&gt;Assumptions!$G$24,Assumptions!$G$23/Assumptions!$G$27,0))</f>
        <v>-2400</v>
      </c>
      <c r="E28" s="8">
        <f>-(Assumptions!$G$28+IF(E6&gt;Assumptions!$G$24,Assumptions!$G$23/Assumptions!$G$27,0))</f>
        <v>-2400</v>
      </c>
      <c r="F28" s="8">
        <f>-(Assumptions!$G$28+IF(F6&gt;Assumptions!$G$24,Assumptions!$G$23/Assumptions!$G$27,0))</f>
        <v>-2400</v>
      </c>
      <c r="G28" s="8">
        <f>-(Assumptions!$G$28+IF(G6&gt;Assumptions!$G$24,Assumptions!$G$23/Assumptions!$G$27,0))</f>
        <v>-3411.90476190476</v>
      </c>
      <c r="H28" s="8">
        <f>-(Assumptions!$G$28+IF(H6&gt;Assumptions!$G$24,Assumptions!$G$23/Assumptions!$G$27,0))</f>
        <v>-3411.90476190476</v>
      </c>
      <c r="I28" s="8">
        <f>-(Assumptions!$G$28+IF(I6&gt;Assumptions!$G$24,Assumptions!$G$23/Assumptions!$G$27,0))</f>
        <v>-3411.90476190476</v>
      </c>
      <c r="J28" s="8">
        <f>-(Assumptions!$G$28+IF(J6&gt;Assumptions!$G$24,Assumptions!$G$23/Assumptions!$G$27,0))</f>
        <v>-3411.90476190476</v>
      </c>
      <c r="K28" s="8">
        <f>-(Assumptions!$G$28+IF(K6&gt;Assumptions!$G$24,Assumptions!$G$23/Assumptions!$G$27,0))</f>
        <v>-3411.90476190476</v>
      </c>
      <c r="L28" s="8">
        <f>-(Assumptions!$G$28+IF(L6&gt;Assumptions!$G$24,Assumptions!$G$23/Assumptions!$G$27,0))</f>
        <v>-3411.90476190476</v>
      </c>
      <c r="M28" s="8">
        <f>-(Assumptions!$G$28+IF(M6&gt;Assumptions!$G$24,Assumptions!$G$23/Assumptions!$G$27,0))</f>
        <v>-3411.90476190476</v>
      </c>
      <c r="N28" s="8">
        <f>-(Assumptions!$G$28+IF(N6&gt;Assumptions!$G$24,Assumptions!$G$23/Assumptions!$G$27,0))</f>
        <v>-3411.90476190476</v>
      </c>
      <c r="O28" s="8">
        <f>-(Assumptions!$G$28+IF(O6&gt;Assumptions!$G$24,Assumptions!$G$23/Assumptions!$G$27,0))</f>
        <v>-3411.90476190476</v>
      </c>
      <c r="P28" s="8">
        <f>-(Assumptions!$G$28+IF(P6&gt;Assumptions!$G$24,Assumptions!$G$23/Assumptions!$G$27,0))</f>
        <v>-3411.90476190476</v>
      </c>
      <c r="Q28" s="8">
        <f>-(Assumptions!$G$28+IF(Q6&gt;Assumptions!$G$24,Assumptions!$G$23/Assumptions!$G$27,0))</f>
        <v>-3411.90476190476</v>
      </c>
      <c r="R28" s="8">
        <f>-(Assumptions!$G$28+IF(R6&gt;Assumptions!$G$24,Assumptions!$G$23/Assumptions!$G$27,0))</f>
        <v>-3411.90476190476</v>
      </c>
      <c r="S28" s="8">
        <f>-(Assumptions!$G$28+IF(S6&gt;Assumptions!$G$24,Assumptions!$G$23/Assumptions!$G$27,0))</f>
        <v>-3411.90476190476</v>
      </c>
      <c r="T28" s="8">
        <f>-(Assumptions!$G$28+IF(T6&gt;Assumptions!$G$24,Assumptions!$G$23/Assumptions!$G$27,0))</f>
        <v>-3411.90476190476</v>
      </c>
      <c r="U28" s="8">
        <f>-(Assumptions!$G$28+IF(U6&gt;Assumptions!$G$24,Assumptions!$G$23/Assumptions!$G$27,0))</f>
        <v>-3411.90476190476</v>
      </c>
      <c r="V28" s="8">
        <f>-(Assumptions!$G$28+IF(V6&gt;Assumptions!$G$24,Assumptions!$G$23/Assumptions!$G$27,0))</f>
        <v>-3411.90476190476</v>
      </c>
      <c r="W28" s="8">
        <f>-(Assumptions!$G$28+IF(W6&gt;Assumptions!$G$24,Assumptions!$G$23/Assumptions!$G$27,0))</f>
        <v>-3411.90476190476</v>
      </c>
      <c r="X28" s="8">
        <f>-(Assumptions!$G$28+IF(X6&gt;Assumptions!$G$24,Assumptions!$G$23/Assumptions!$G$27,0))</f>
        <v>-3411.90476190476</v>
      </c>
      <c r="Y28" s="8">
        <f>-(Assumptions!$G$28+IF(Y6&gt;Assumptions!$G$24,Assumptions!$G$23/Assumptions!$G$27,0))</f>
        <v>-3411.90476190476</v>
      </c>
      <c r="Z28" s="8">
        <f>-(Assumptions!$G$28+IF(Z6&gt;Assumptions!$G$24,Assumptions!$G$23/Assumptions!$G$27,0))</f>
        <v>-3411.90476190476</v>
      </c>
      <c r="AA28" s="8">
        <f>-(Assumptions!$G$28+IF(AA6&gt;Assumptions!$G$24,Assumptions!$G$23/Assumptions!$G$27,0))</f>
        <v>-3411.90476190476</v>
      </c>
      <c r="AB28" s="25">
        <f>SUM(D28:O28)</f>
        <v>-37907.1428571429</v>
      </c>
      <c r="AC28" s="25">
        <f>SUM(P28:AA28)</f>
        <v>-40942.8571428571</v>
      </c>
    </row>
    <row r="29">
      <c r="B29" s="3" t="inlineStr">
        <is>
          <t>EBIT</t>
        </is>
      </c>
      <c r="D29" s="26">
        <f>D25+D28</f>
        <v>2090.96</v>
      </c>
      <c r="E29" s="26">
        <f>E25+E28</f>
        <v>2590.69759999999</v>
      </c>
      <c r="F29" s="26">
        <f>F25+F28</f>
        <v>5560.43839999999</v>
      </c>
      <c r="G29" s="26">
        <f>G25+G28</f>
        <v>8247.46655713525</v>
      </c>
      <c r="H29" s="26">
        <f>H25+H28</f>
        <v>11393.7463102232</v>
      </c>
      <c r="I29" s="26">
        <f>I25+I28</f>
        <v>18047.5125965705</v>
      </c>
      <c r="J29" s="26">
        <f>J25+J28</f>
        <v>3163.54821938755</v>
      </c>
      <c r="K29" s="26">
        <f>K25+K28</f>
        <v>9783.99493226825</v>
      </c>
      <c r="L29" s="26">
        <f>L25+L28</f>
        <v>15187.2884255231</v>
      </c>
      <c r="M29" s="26">
        <f>M25+M28</f>
        <v>16996.0546892717</v>
      </c>
      <c r="N29" s="26">
        <f>N25+N28</f>
        <v>16489.7277910892</v>
      </c>
      <c r="O29" s="26">
        <f>O25+O28</f>
        <v>17471.677476499</v>
      </c>
      <c r="P29" s="26">
        <f>P25+P28</f>
        <v>23693.5844902484</v>
      </c>
      <c r="Q29" s="26">
        <f>Q25+Q28</f>
        <v>23891.2861246275</v>
      </c>
      <c r="R29" s="26">
        <f>R25+R28</f>
        <v>27522.7141699554</v>
      </c>
      <c r="S29" s="26">
        <f>S25+S28</f>
        <v>32137.3846061475</v>
      </c>
      <c r="T29" s="26">
        <f>T25+T28</f>
        <v>35967.7880144059</v>
      </c>
      <c r="U29" s="26">
        <f>U25+U28</f>
        <v>44554.6065851213</v>
      </c>
      <c r="V29" s="26">
        <f>V25+V28</f>
        <v>23896.8377130918</v>
      </c>
      <c r="W29" s="26">
        <f>W25+W28</f>
        <v>32450.6764692585</v>
      </c>
      <c r="X29" s="26">
        <f>X25+X28</f>
        <v>39310.9671637653</v>
      </c>
      <c r="Y29" s="26">
        <f>Y25+Y28</f>
        <v>41322.2327462787</v>
      </c>
      <c r="Z29" s="26">
        <f>Z25+Z28</f>
        <v>40248.8328886919</v>
      </c>
      <c r="AA29" s="26">
        <f>AA25+AA28</f>
        <v>41173.9357368287</v>
      </c>
      <c r="AB29" s="25">
        <f>SUM(D29:O29)</f>
        <v>127023.112997968</v>
      </c>
      <c r="AC29" s="25">
        <f>SUM(P29:AA29)</f>
        <v>406170.846708421</v>
      </c>
    </row>
    <row r="30">
      <c r="B30" t="inlineStr">
        <is>
          <t>Interest on equipment loan</t>
        </is>
      </c>
      <c r="D30" s="8">
        <f>-'Balance Sheet'!C15*Assumptions!$G$32/12</f>
        <v>-850</v>
      </c>
      <c r="E30" s="8">
        <f>-'Balance Sheet'!D15*Assumptions!$G$32/12</f>
        <v>-832.291666666667</v>
      </c>
      <c r="F30" s="8">
        <f>-'Balance Sheet'!E15*Assumptions!$G$32/12</f>
        <v>-814.583333333333</v>
      </c>
      <c r="G30" s="8">
        <f>-'Balance Sheet'!F15*Assumptions!$G$32/12</f>
        <v>-1218.33333333333</v>
      </c>
      <c r="H30" s="8">
        <f>-'Balance Sheet'!G15*Assumptions!$G$32/12</f>
        <v>-1200.625</v>
      </c>
      <c r="I30" s="8">
        <f>-'Balance Sheet'!H15*Assumptions!$G$32/12</f>
        <v>-1182.91666666667</v>
      </c>
      <c r="J30" s="8">
        <f>-'Balance Sheet'!I15*Assumptions!$G$32/12</f>
        <v>-1165.20833333333</v>
      </c>
      <c r="K30" s="8">
        <f>-'Balance Sheet'!J15*Assumptions!$G$32/12</f>
        <v>-1147.5</v>
      </c>
      <c r="L30" s="8">
        <f>-'Balance Sheet'!K15*Assumptions!$G$32/12</f>
        <v>-1129.79166666667</v>
      </c>
      <c r="M30" s="8">
        <f>-'Balance Sheet'!L15*Assumptions!$G$32/12</f>
        <v>-1112.08333333333</v>
      </c>
      <c r="N30" s="8">
        <f>-'Balance Sheet'!M15*Assumptions!$G$32/12</f>
        <v>-1094.375</v>
      </c>
      <c r="O30" s="8">
        <f>-'Balance Sheet'!N15*Assumptions!$G$32/12</f>
        <v>-1076.66666666667</v>
      </c>
      <c r="P30" s="8">
        <f>-'Balance Sheet'!O15*Assumptions!$G$32/12</f>
        <v>-1058.95833333333</v>
      </c>
      <c r="Q30" s="8">
        <f>-'Balance Sheet'!P15*Assumptions!$G$32/12</f>
        <v>-1041.25</v>
      </c>
      <c r="R30" s="8">
        <f>-'Balance Sheet'!Q15*Assumptions!$G$32/12</f>
        <v>-1023.54166666667</v>
      </c>
      <c r="S30" s="8">
        <f>-'Balance Sheet'!R15*Assumptions!$G$32/12</f>
        <v>-1005.83333333333</v>
      </c>
      <c r="T30" s="8">
        <f>-'Balance Sheet'!S15*Assumptions!$G$32/12</f>
        <v>-988.125</v>
      </c>
      <c r="U30" s="8">
        <f>-'Balance Sheet'!T15*Assumptions!$G$32/12</f>
        <v>-970.416666666667</v>
      </c>
      <c r="V30" s="8">
        <f>-'Balance Sheet'!U15*Assumptions!$G$32/12</f>
        <v>-952.708333333333</v>
      </c>
      <c r="W30" s="8">
        <f>-'Balance Sheet'!V15*Assumptions!$G$32/12</f>
        <v>-935</v>
      </c>
      <c r="X30" s="8">
        <f>-'Balance Sheet'!W15*Assumptions!$G$32/12</f>
        <v>-917.291666666667</v>
      </c>
      <c r="Y30" s="8">
        <f>-'Balance Sheet'!X15*Assumptions!$G$32/12</f>
        <v>-899.583333333333</v>
      </c>
      <c r="Z30" s="8">
        <f>-'Balance Sheet'!Y15*Assumptions!$G$32/12</f>
        <v>-881.875</v>
      </c>
      <c r="AA30" s="8">
        <f>-'Balance Sheet'!Z15*Assumptions!$G$32/12</f>
        <v>-864.166666666667</v>
      </c>
      <c r="AB30" s="25">
        <f>SUM(D30:O30)</f>
        <v>-12824.375</v>
      </c>
      <c r="AC30" s="25">
        <f>SUM(P30:AA30)</f>
        <v>-11538.75</v>
      </c>
    </row>
    <row r="31">
      <c r="B31" s="3" t="inlineStr">
        <is>
          <t>Profit before tax</t>
        </is>
      </c>
      <c r="D31" s="26">
        <f>D29+D30</f>
        <v>1240.96</v>
      </c>
      <c r="E31" s="26">
        <f>E29+E30</f>
        <v>1758.40593333332</v>
      </c>
      <c r="F31" s="26">
        <f>F29+F30</f>
        <v>4745.85506666666</v>
      </c>
      <c r="G31" s="26">
        <f>G29+G30</f>
        <v>7029.13322380192</v>
      </c>
      <c r="H31" s="26">
        <f>H29+H30</f>
        <v>10193.1213102232</v>
      </c>
      <c r="I31" s="26">
        <f>I29+I30</f>
        <v>16864.5959299038</v>
      </c>
      <c r="J31" s="26">
        <f>J29+J30</f>
        <v>1998.33988605422</v>
      </c>
      <c r="K31" s="26">
        <f>K29+K30</f>
        <v>8636.49493226825</v>
      </c>
      <c r="L31" s="26">
        <f>L29+L30</f>
        <v>14057.4967588564</v>
      </c>
      <c r="M31" s="26">
        <f>M29+M30</f>
        <v>15883.9713559383</v>
      </c>
      <c r="N31" s="26">
        <f>N29+N30</f>
        <v>15395.3527910892</v>
      </c>
      <c r="O31" s="26">
        <f>O29+O30</f>
        <v>16395.0108098324</v>
      </c>
      <c r="P31" s="26">
        <f>P29+P30</f>
        <v>22634.6261569151</v>
      </c>
      <c r="Q31" s="26">
        <f>Q29+Q30</f>
        <v>22850.0361246275</v>
      </c>
      <c r="R31" s="26">
        <f>R29+R30</f>
        <v>26499.1725032887</v>
      </c>
      <c r="S31" s="26">
        <f>S29+S30</f>
        <v>31131.5512728142</v>
      </c>
      <c r="T31" s="26">
        <f>T29+T30</f>
        <v>34979.6630144059</v>
      </c>
      <c r="U31" s="26">
        <f>U29+U30</f>
        <v>43584.1899184546</v>
      </c>
      <c r="V31" s="26">
        <f>V29+V30</f>
        <v>22944.1293797585</v>
      </c>
      <c r="W31" s="26">
        <f>W29+W30</f>
        <v>31515.6764692585</v>
      </c>
      <c r="X31" s="26">
        <f>X29+X30</f>
        <v>38393.6754970986</v>
      </c>
      <c r="Y31" s="26">
        <f>Y29+Y30</f>
        <v>40422.6494129453</v>
      </c>
      <c r="Z31" s="26">
        <f>Z29+Z30</f>
        <v>39366.9578886919</v>
      </c>
      <c r="AA31" s="26">
        <f>AA29+AA30</f>
        <v>40309.7690701621</v>
      </c>
      <c r="AB31" s="25">
        <f>SUM(D31:O31)</f>
        <v>114198.737997968</v>
      </c>
      <c r="AC31" s="25">
        <f>SUM(P31:AA31)</f>
        <v>394632.096708421</v>
      </c>
    </row>
    <row r="32">
      <c r="B32" t="inlineStr">
        <is>
          <t>Tax</t>
        </is>
      </c>
      <c r="D32" s="8">
        <f>-MAX(0,D31)*Assumptions!$G$34</f>
        <v>-310.24</v>
      </c>
      <c r="E32" s="8">
        <f>-MAX(0,E31)*Assumptions!$G$34</f>
        <v>-439.60148333333</v>
      </c>
      <c r="F32" s="8">
        <f>-MAX(0,F31)*Assumptions!$G$34</f>
        <v>-1186.46376666666</v>
      </c>
      <c r="G32" s="8">
        <f>-MAX(0,G31)*Assumptions!$G$34</f>
        <v>-1757.28330595048</v>
      </c>
      <c r="H32" s="8">
        <f>-MAX(0,H31)*Assumptions!$G$34</f>
        <v>-2548.28032755581</v>
      </c>
      <c r="I32" s="8">
        <f>-MAX(0,I31)*Assumptions!$G$34</f>
        <v>-4216.14898247596</v>
      </c>
      <c r="J32" s="8">
        <f>-MAX(0,J31)*Assumptions!$G$34</f>
        <v>-499.584971513555</v>
      </c>
      <c r="K32" s="8">
        <f>-MAX(0,K31)*Assumptions!$G$34</f>
        <v>-2159.12373306706</v>
      </c>
      <c r="L32" s="8">
        <f>-MAX(0,L31)*Assumptions!$G$34</f>
        <v>-3514.37418971411</v>
      </c>
      <c r="M32" s="8">
        <f>-MAX(0,M31)*Assumptions!$G$34</f>
        <v>-3970.99283898459</v>
      </c>
      <c r="N32" s="8">
        <f>-MAX(0,N31)*Assumptions!$G$34</f>
        <v>-3848.8381977723</v>
      </c>
      <c r="O32" s="8">
        <f>-MAX(0,O31)*Assumptions!$G$34</f>
        <v>-4098.75270245809</v>
      </c>
      <c r="P32" s="8">
        <f>-MAX(0,P31)*Assumptions!$G$34</f>
        <v>-5658.65653922877</v>
      </c>
      <c r="Q32" s="8">
        <f>-MAX(0,Q31)*Assumptions!$G$34</f>
        <v>-5712.50903115688</v>
      </c>
      <c r="R32" s="8">
        <f>-MAX(0,R31)*Assumptions!$G$34</f>
        <v>-6624.79312582218</v>
      </c>
      <c r="S32" s="8">
        <f>-MAX(0,S31)*Assumptions!$G$34</f>
        <v>-7782.88781820355</v>
      </c>
      <c r="T32" s="8">
        <f>-MAX(0,T31)*Assumptions!$G$34</f>
        <v>-8744.91575360148</v>
      </c>
      <c r="U32" s="8">
        <f>-MAX(0,U31)*Assumptions!$G$34</f>
        <v>-10896.0474796136</v>
      </c>
      <c r="V32" s="8">
        <f>-MAX(0,V31)*Assumptions!$G$34</f>
        <v>-5736.03234493962</v>
      </c>
      <c r="W32" s="8">
        <f>-MAX(0,W31)*Assumptions!$G$34</f>
        <v>-7878.91911731462</v>
      </c>
      <c r="X32" s="8">
        <f>-MAX(0,X31)*Assumptions!$G$34</f>
        <v>-9598.41887427465</v>
      </c>
      <c r="Y32" s="8">
        <f>-MAX(0,Y31)*Assumptions!$G$34</f>
        <v>-10105.6623532363</v>
      </c>
      <c r="Z32" s="8">
        <f>-MAX(0,Z31)*Assumptions!$G$34</f>
        <v>-9841.73947217298</v>
      </c>
      <c r="AA32" s="8">
        <f>-MAX(0,AA31)*Assumptions!$G$34</f>
        <v>-10077.4422675405</v>
      </c>
      <c r="AB32" s="25">
        <f>SUM(D32:O32)</f>
        <v>-28549.684499492</v>
      </c>
      <c r="AC32" s="25">
        <f>SUM(P32:AA32)</f>
        <v>-98658.0241771052</v>
      </c>
    </row>
    <row r="33">
      <c r="B33" s="3" t="inlineStr">
        <is>
          <t>Net profit after tax</t>
        </is>
      </c>
      <c r="D33" s="28">
        <f>D31+D32</f>
        <v>930.719999999999</v>
      </c>
      <c r="E33" s="28">
        <f>E31+E32</f>
        <v>1318.80444999999</v>
      </c>
      <c r="F33" s="28">
        <f>F31+F32</f>
        <v>3559.39129999999</v>
      </c>
      <c r="G33" s="28">
        <f>G31+G32</f>
        <v>5271.84991785144</v>
      </c>
      <c r="H33" s="28">
        <f>H31+H32</f>
        <v>7644.84098266743</v>
      </c>
      <c r="I33" s="28">
        <f>I31+I32</f>
        <v>12648.4469474279</v>
      </c>
      <c r="J33" s="28">
        <f>J31+J32</f>
        <v>1498.75491454066</v>
      </c>
      <c r="K33" s="28">
        <f>K31+K32</f>
        <v>6477.37119920119</v>
      </c>
      <c r="L33" s="28">
        <f>L31+L32</f>
        <v>10543.1225691423</v>
      </c>
      <c r="M33" s="28">
        <f>M31+M32</f>
        <v>11912.9785169538</v>
      </c>
      <c r="N33" s="28">
        <f>N31+N32</f>
        <v>11546.5145933169</v>
      </c>
      <c r="O33" s="28">
        <f>O31+O32</f>
        <v>12296.2581073743</v>
      </c>
      <c r="P33" s="28">
        <f>P31+P32</f>
        <v>16975.9696176863</v>
      </c>
      <c r="Q33" s="28">
        <f>Q31+Q32</f>
        <v>17137.5270934706</v>
      </c>
      <c r="R33" s="28">
        <f>R31+R32</f>
        <v>19874.3793774665</v>
      </c>
      <c r="S33" s="28">
        <f>S31+S32</f>
        <v>23348.6634546106</v>
      </c>
      <c r="T33" s="28">
        <f>T31+T32</f>
        <v>26234.7472608044</v>
      </c>
      <c r="U33" s="28">
        <f>U31+U32</f>
        <v>32688.1424388409</v>
      </c>
      <c r="V33" s="28">
        <f>V31+V32</f>
        <v>17208.0970348188</v>
      </c>
      <c r="W33" s="28">
        <f>W31+W32</f>
        <v>23636.7573519439</v>
      </c>
      <c r="X33" s="28">
        <f>X31+X32</f>
        <v>28795.256622824</v>
      </c>
      <c r="Y33" s="28">
        <f>Y31+Y32</f>
        <v>30316.987059709</v>
      </c>
      <c r="Z33" s="28">
        <f>Z31+Z32</f>
        <v>29525.2184165189</v>
      </c>
      <c r="AA33" s="28">
        <f>AA31+AA32</f>
        <v>30232.3268026215</v>
      </c>
      <c r="AB33" s="25">
        <f>SUM(D33:O33)</f>
        <v>85649.0534984759</v>
      </c>
      <c r="AC33" s="25">
        <f>SUM(P33:AA33)</f>
        <v>295974.072531316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A7F86"/>
    <outlinePr summaryBelow="1" summaryRight="1"/>
    <pageSetUpPr/>
  </sheetPr>
  <dimension ref="B2:AA22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2" max="2"/>
    <col width="11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1.5" customWidth="1" min="18" max="18"/>
    <col width="11.5" customWidth="1" min="19" max="19"/>
    <col width="11.5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1.5" customWidth="1" min="27" max="27"/>
    <col width="11.5" customWidth="1" min="28" max="28"/>
    <col width="11.5" customWidth="1" min="29" max="29"/>
  </cols>
  <sheetData>
    <row r="2">
      <c r="B2" s="1" t="inlineStr">
        <is>
          <t>Balance sheet</t>
        </is>
      </c>
    </row>
    <row r="3">
      <c r="B3" s="2" t="inlineStr">
        <is>
          <t>Month-end, AUD  ·  Sample project, placeholder data.</t>
        </is>
      </c>
    </row>
    <row r="5">
      <c r="B5" s="7" t="inlineStr">
        <is>
          <t>Month</t>
        </is>
      </c>
      <c r="C5" s="7" t="inlineStr">
        <is>
          <t>Opening</t>
        </is>
      </c>
      <c r="D5" s="21" t="n">
        <v>46204</v>
      </c>
      <c r="E5" s="21" t="n">
        <v>46235</v>
      </c>
      <c r="F5" s="21" t="n">
        <v>46266</v>
      </c>
      <c r="G5" s="21" t="n">
        <v>46296</v>
      </c>
      <c r="H5" s="21" t="n">
        <v>46327</v>
      </c>
      <c r="I5" s="21" t="n">
        <v>46357</v>
      </c>
      <c r="J5" s="21" t="n">
        <v>46388</v>
      </c>
      <c r="K5" s="21" t="n">
        <v>46419</v>
      </c>
      <c r="L5" s="21" t="n">
        <v>46447</v>
      </c>
      <c r="M5" s="21" t="n">
        <v>46478</v>
      </c>
      <c r="N5" s="21" t="n">
        <v>46508</v>
      </c>
      <c r="O5" s="21" t="n">
        <v>46539</v>
      </c>
      <c r="P5" s="21" t="n">
        <v>46569</v>
      </c>
      <c r="Q5" s="21" t="n">
        <v>46600</v>
      </c>
      <c r="R5" s="21" t="n">
        <v>46631</v>
      </c>
      <c r="S5" s="21" t="n">
        <v>46661</v>
      </c>
      <c r="T5" s="21" t="n">
        <v>46692</v>
      </c>
      <c r="U5" s="21" t="n">
        <v>46722</v>
      </c>
      <c r="V5" s="21" t="n">
        <v>46753</v>
      </c>
      <c r="W5" s="21" t="n">
        <v>46784</v>
      </c>
      <c r="X5" s="21" t="n">
        <v>46813</v>
      </c>
      <c r="Y5" s="21" t="n">
        <v>46844</v>
      </c>
      <c r="Z5" s="21" t="n">
        <v>46874</v>
      </c>
      <c r="AA5" s="21" t="n">
        <v>46905</v>
      </c>
    </row>
    <row r="6">
      <c r="B6" t="inlineStr">
        <is>
          <t>Month no.</t>
        </is>
      </c>
      <c r="C6" t="inlineStr">
        <is>
          <t>30 Jun 26</t>
        </is>
      </c>
      <c r="D6" t="n">
        <v>1</v>
      </c>
      <c r="E6" t="n">
        <v>2</v>
      </c>
      <c r="F6" t="n">
        <v>3</v>
      </c>
      <c r="G6" t="n">
        <v>4</v>
      </c>
      <c r="H6" t="n">
        <v>5</v>
      </c>
      <c r="I6" t="n">
        <v>6</v>
      </c>
      <c r="J6" t="n">
        <v>7</v>
      </c>
      <c r="K6" t="n">
        <v>8</v>
      </c>
      <c r="L6" t="n">
        <v>9</v>
      </c>
      <c r="M6" t="n">
        <v>10</v>
      </c>
      <c r="N6" t="n">
        <v>11</v>
      </c>
      <c r="O6" t="n">
        <v>12</v>
      </c>
      <c r="P6" t="n">
        <v>13</v>
      </c>
      <c r="Q6" t="n">
        <v>14</v>
      </c>
      <c r="R6" t="n">
        <v>15</v>
      </c>
      <c r="S6" t="n">
        <v>16</v>
      </c>
      <c r="T6" t="n">
        <v>17</v>
      </c>
      <c r="U6" t="n">
        <v>18</v>
      </c>
      <c r="V6" t="n">
        <v>19</v>
      </c>
      <c r="W6" t="n">
        <v>20</v>
      </c>
      <c r="X6" t="n">
        <v>21</v>
      </c>
      <c r="Y6" t="n">
        <v>22</v>
      </c>
      <c r="Z6" t="n">
        <v>23</v>
      </c>
      <c r="AA6" t="n">
        <v>24</v>
      </c>
    </row>
    <row r="7">
      <c r="B7" t="inlineStr">
        <is>
          <t>Cash at bank</t>
        </is>
      </c>
      <c r="C7" s="8">
        <f>Assumptions!$D$45</f>
        <v>64000</v>
      </c>
      <c r="D7" s="8">
        <f>'Cash Flow'!D25</f>
        <v>54139.8</v>
      </c>
      <c r="E7" s="8">
        <f>'Cash Flow'!E25</f>
        <v>53585.2875333333</v>
      </c>
      <c r="F7" s="8">
        <f>'Cash Flow'!F25</f>
        <v>18369.4419166666</v>
      </c>
      <c r="G7" s="8">
        <f>'Cash Flow'!G25</f>
        <v>19299.8784371467</v>
      </c>
      <c r="H7" s="8">
        <f>'Cash Flow'!H25</f>
        <v>23501.8596296922</v>
      </c>
      <c r="I7" s="8">
        <f>'Cash Flow'!I25</f>
        <v>20229.899917192</v>
      </c>
      <c r="J7" s="8">
        <f>'Cash Flow'!J25</f>
        <v>36209.5081413942</v>
      </c>
      <c r="K7" s="8">
        <f>'Cash Flow'!K25</f>
        <v>35824.509088224</v>
      </c>
      <c r="L7" s="8">
        <f>'Cash Flow'!L25</f>
        <v>31704.958547893</v>
      </c>
      <c r="M7" s="8">
        <f>'Cash Flow'!M25</f>
        <v>41550.3271461403</v>
      </c>
      <c r="N7" s="8">
        <f>'Cash Flow'!N25</f>
        <v>53364.5123142837</v>
      </c>
      <c r="O7" s="8">
        <f>'Cash Flow'!O25</f>
        <v>55449.7257740605</v>
      </c>
      <c r="P7" s="8">
        <f>'Cash Flow'!P25</f>
        <v>64398.9313029932</v>
      </c>
      <c r="Q7" s="8">
        <f>'Cash Flow'!Q25</f>
        <v>81132.9392130053</v>
      </c>
      <c r="R7" s="8">
        <f>'Cash Flow'!R25</f>
        <v>88149.2886587669</v>
      </c>
      <c r="S7" s="8">
        <f>'Cash Flow'!S25</f>
        <v>106652.765028055</v>
      </c>
      <c r="T7" s="8">
        <f>'Cash Flow'!T25</f>
        <v>128843.356139815</v>
      </c>
      <c r="U7" s="8">
        <f>'Cash Flow'!U25</f>
        <v>143677.561552872</v>
      </c>
      <c r="V7" s="8">
        <f>'Cash Flow'!V25</f>
        <v>181685.90682278</v>
      </c>
      <c r="W7" s="8">
        <f>'Cash Flow'!W25</f>
        <v>196528.409883667</v>
      </c>
      <c r="X7" s="8">
        <f>'Cash Flow'!X25</f>
        <v>209255.017933155</v>
      </c>
      <c r="Y7" s="8">
        <f>'Cash Flow'!Y25</f>
        <v>237434.388401604</v>
      </c>
      <c r="Z7" s="8">
        <f>'Cash Flow'!Z25</f>
        <v>267965.056978492</v>
      </c>
      <c r="AA7" s="8">
        <f>'Cash Flow'!AA25</f>
        <v>288188.021376908</v>
      </c>
    </row>
    <row r="8">
      <c r="B8" t="inlineStr">
        <is>
          <t>Trade debtors</t>
        </is>
      </c>
      <c r="C8" s="8">
        <f>Assumptions!$D$46</f>
        <v>45000</v>
      </c>
      <c r="D8" s="8">
        <f>'P&amp;L'!D13*Assumptions!$G$29/30</f>
        <v>55540.8</v>
      </c>
      <c r="E8" s="8">
        <f>'P&amp;L'!E13*Assumptions!$G$29/30</f>
        <v>56306.88</v>
      </c>
      <c r="F8" s="8">
        <f>'P&amp;L'!F13*Assumptions!$G$29/30</f>
        <v>59371.2</v>
      </c>
      <c r="G8" s="8">
        <f>'P&amp;L'!G13*Assumptions!$G$29/30</f>
        <v>63124.992</v>
      </c>
      <c r="H8" s="8">
        <f>'P&amp;L'!H13*Assumptions!$G$29/30</f>
        <v>66361.68</v>
      </c>
      <c r="I8" s="8">
        <f>'P&amp;L'!I13*Assumptions!$G$29/30</f>
        <v>72930.816</v>
      </c>
      <c r="J8" s="8">
        <f>'P&amp;L'!J13*Assumptions!$G$29/30</f>
        <v>58988.16</v>
      </c>
      <c r="K8" s="8">
        <f>'P&amp;L'!K13*Assumptions!$G$29/30</f>
        <v>65499.84</v>
      </c>
      <c r="L8" s="8">
        <f>'P&amp;L'!L13*Assumptions!$G$29/30</f>
        <v>70862.4</v>
      </c>
      <c r="M8" s="8">
        <f>'P&amp;L'!M13*Assumptions!$G$29/30</f>
        <v>72777.6</v>
      </c>
      <c r="N8" s="8">
        <f>'P&amp;L'!N13*Assumptions!$G$29/30</f>
        <v>72452.016</v>
      </c>
      <c r="O8" s="8">
        <f>'P&amp;L'!O13*Assumptions!$G$29/30</f>
        <v>73543.68</v>
      </c>
      <c r="P8" s="8">
        <f>'P&amp;L'!P13*Assumptions!$G$29/30</f>
        <v>80878.896</v>
      </c>
      <c r="Q8" s="8">
        <f>'P&amp;L'!Q13*Assumptions!$G$29/30</f>
        <v>81194.52096</v>
      </c>
      <c r="R8" s="8">
        <f>'P&amp;L'!R13*Assumptions!$G$29/30</f>
        <v>84824.208</v>
      </c>
      <c r="S8" s="8">
        <f>'P&amp;L'!S13*Assumptions!$G$29/30</f>
        <v>89400.76992</v>
      </c>
      <c r="T8" s="8">
        <f>'P&amp;L'!T13*Assumptions!$G$29/30</f>
        <v>93207.996</v>
      </c>
      <c r="U8" s="8">
        <f>'P&amp;L'!U13*Assumptions!$G$29/30</f>
        <v>101631.23712</v>
      </c>
      <c r="V8" s="8">
        <f>'P&amp;L'!V13*Assumptions!$G$29/30</f>
        <v>81589.05216</v>
      </c>
      <c r="W8" s="8">
        <f>'P&amp;L'!W13*Assumptions!$G$29/30</f>
        <v>89953.1136</v>
      </c>
      <c r="X8" s="8">
        <f>'P&amp;L'!X13*Assumptions!$G$29/30</f>
        <v>96660.144</v>
      </c>
      <c r="Y8" s="8">
        <f>'P&amp;L'!Y13*Assumptions!$G$29/30</f>
        <v>98632.8</v>
      </c>
      <c r="Z8" s="8">
        <f>'P&amp;L'!Z13*Assumptions!$G$29/30</f>
        <v>97587.29232</v>
      </c>
      <c r="AA8" s="8">
        <f>'P&amp;L'!AA13*Assumptions!$G$29/30</f>
        <v>98474.98752</v>
      </c>
    </row>
    <row r="9">
      <c r="B9" t="inlineStr">
        <is>
          <t>Inventory</t>
        </is>
      </c>
      <c r="C9" s="8">
        <f>Assumptions!$D$47</f>
        <v>52000</v>
      </c>
      <c r="D9" s="8">
        <f>-'P&amp;L'!D16*Assumptions!$G$30/30</f>
        <v>52381.08</v>
      </c>
      <c r="E9" s="8">
        <f>-'P&amp;L'!E16*Assumptions!$G$30/30</f>
        <v>52790.8752</v>
      </c>
      <c r="F9" s="8">
        <f>-'P&amp;L'!F16*Assumptions!$G$30/30</f>
        <v>55364.2128</v>
      </c>
      <c r="G9" s="8">
        <f>-'P&amp;L'!G16*Assumptions!$G$30/30</f>
        <v>58575.24989568</v>
      </c>
      <c r="H9" s="8">
        <f>-'P&amp;L'!H16*Assumptions!$G$30/30</f>
        <v>61302.470616576</v>
      </c>
      <c r="I9" s="8">
        <f>-'P&amp;L'!I16*Assumptions!$G$30/30</f>
        <v>67095.6028468347</v>
      </c>
      <c r="J9" s="8">
        <f>-'P&amp;L'!J16*Assumptions!$G$30/30</f>
        <v>54067.0331706775</v>
      </c>
      <c r="K9" s="8">
        <f>-'P&amp;L'!K16*Assumptions!$G$30/30</f>
        <v>59833.4344981665</v>
      </c>
      <c r="L9" s="8">
        <f>-'P&amp;L'!L16*Assumptions!$G$30/30</f>
        <v>64535.2394822419</v>
      </c>
      <c r="M9" s="8">
        <f>-'P&amp;L'!M16*Assumptions!$G$30/30</f>
        <v>66098.0394718868</v>
      </c>
      <c r="N9" s="8">
        <f>-'P&amp;L'!N16*Assumptions!$G$30/30</f>
        <v>65641.0301094848</v>
      </c>
      <c r="O9" s="8">
        <f>-'P&amp;L'!O16*Assumptions!$G$30/30</f>
        <v>66484.629852049</v>
      </c>
      <c r="P9" s="8">
        <f>-'P&amp;L'!P16*Assumptions!$G$30/30</f>
        <v>72974.6999143361</v>
      </c>
      <c r="Q9" s="8">
        <f>-'P&amp;L'!Q16*Assumptions!$G$30/30</f>
        <v>73135.6543462103</v>
      </c>
      <c r="R9" s="8">
        <f>-'P&amp;L'!R16*Assumptions!$G$30/30</f>
        <v>76293.2495910352</v>
      </c>
      <c r="S9" s="8">
        <f>-'P&amp;L'!S16*Assumptions!$G$30/30</f>
        <v>80309.1234498616</v>
      </c>
      <c r="T9" s="8">
        <f>-'P&amp;L'!T16*Assumptions!$G$30/30</f>
        <v>83641.7117489027</v>
      </c>
      <c r="U9" s="8">
        <f>-'P&amp;L'!U16*Assumptions!$G$30/30</f>
        <v>91122.9089300062</v>
      </c>
      <c r="V9" s="8">
        <f>-'P&amp;L'!V16*Assumptions!$G$30/30</f>
        <v>73104.3879864307</v>
      </c>
      <c r="W9" s="8">
        <f>-'P&amp;L'!W16*Assumptions!$G$30/30</f>
        <v>80559.3411424401</v>
      </c>
      <c r="X9" s="8">
        <f>-'P&amp;L'!X16*Assumptions!$G$30/30</f>
        <v>86538.409219041</v>
      </c>
      <c r="Y9" s="8">
        <f>-'P&amp;L'!Y16*Assumptions!$G$30/30</f>
        <v>88290.7357154218</v>
      </c>
      <c r="Z9" s="8">
        <f>-'P&amp;L'!Z16*Assumptions!$G$30/30</f>
        <v>87354.8539168383</v>
      </c>
      <c r="AA9" s="8">
        <f>-'P&amp;L'!AA16*Assumptions!$G$30/30</f>
        <v>88162.6782012719</v>
      </c>
    </row>
    <row r="10">
      <c r="B10" t="inlineStr">
        <is>
          <t>Plant &amp; equipment (net)</t>
        </is>
      </c>
      <c r="C10" s="8">
        <f>Assumptions!$D$48</f>
        <v>180000</v>
      </c>
      <c r="D10" s="8">
        <f>C10-'Cash Flow'!D15+'P&amp;L'!D28</f>
        <v>178600</v>
      </c>
      <c r="E10" s="8">
        <f>D10-'Cash Flow'!E15+'P&amp;L'!E28</f>
        <v>177200</v>
      </c>
      <c r="F10" s="8">
        <f>E10-'Cash Flow'!F15+'P&amp;L'!F28</f>
        <v>260800</v>
      </c>
      <c r="G10" s="8">
        <f>F10-'Cash Flow'!G15+'P&amp;L'!G28</f>
        <v>258388.095238095</v>
      </c>
      <c r="H10" s="8">
        <f>G10-'Cash Flow'!H15+'P&amp;L'!H28</f>
        <v>255976.19047619</v>
      </c>
      <c r="I10" s="8">
        <f>H10-'Cash Flow'!I15+'P&amp;L'!I28</f>
        <v>253564.285714286</v>
      </c>
      <c r="J10" s="8">
        <f>I10-'Cash Flow'!J15+'P&amp;L'!J28</f>
        <v>251152.380952381</v>
      </c>
      <c r="K10" s="8">
        <f>J10-'Cash Flow'!K15+'P&amp;L'!K28</f>
        <v>248740.476190476</v>
      </c>
      <c r="L10" s="8">
        <f>K10-'Cash Flow'!L15+'P&amp;L'!L28</f>
        <v>246328.571428571</v>
      </c>
      <c r="M10" s="8">
        <f>L10-'Cash Flow'!M15+'P&amp;L'!M28</f>
        <v>243916.666666667</v>
      </c>
      <c r="N10" s="8">
        <f>M10-'Cash Flow'!N15+'P&amp;L'!N28</f>
        <v>241504.761904762</v>
      </c>
      <c r="O10" s="8">
        <f>N10-'Cash Flow'!O15+'P&amp;L'!O28</f>
        <v>239092.857142857</v>
      </c>
      <c r="P10" s="8">
        <f>O10-'Cash Flow'!P15+'P&amp;L'!P28</f>
        <v>236680.952380952</v>
      </c>
      <c r="Q10" s="8">
        <f>P10-'Cash Flow'!Q15+'P&amp;L'!Q28</f>
        <v>234269.047619048</v>
      </c>
      <c r="R10" s="8">
        <f>Q10-'Cash Flow'!R15+'P&amp;L'!R28</f>
        <v>231857.142857143</v>
      </c>
      <c r="S10" s="8">
        <f>R10-'Cash Flow'!S15+'P&amp;L'!S28</f>
        <v>229445.238095238</v>
      </c>
      <c r="T10" s="8">
        <f>S10-'Cash Flow'!T15+'P&amp;L'!T28</f>
        <v>227033.333333333</v>
      </c>
      <c r="U10" s="8">
        <f>T10-'Cash Flow'!U15+'P&amp;L'!U28</f>
        <v>224621.428571429</v>
      </c>
      <c r="V10" s="8">
        <f>U10-'Cash Flow'!V15+'P&amp;L'!V28</f>
        <v>222209.523809524</v>
      </c>
      <c r="W10" s="8">
        <f>V10-'Cash Flow'!W15+'P&amp;L'!W28</f>
        <v>219797.619047619</v>
      </c>
      <c r="X10" s="8">
        <f>W10-'Cash Flow'!X15+'P&amp;L'!X28</f>
        <v>217385.714285714</v>
      </c>
      <c r="Y10" s="8">
        <f>X10-'Cash Flow'!Y15+'P&amp;L'!Y28</f>
        <v>214973.80952381</v>
      </c>
      <c r="Z10" s="8">
        <f>Y10-'Cash Flow'!Z15+'P&amp;L'!Z28</f>
        <v>212561.904761905</v>
      </c>
      <c r="AA10" s="8">
        <f>Z10-'Cash Flow'!AA15+'P&amp;L'!AA28</f>
        <v>210150</v>
      </c>
    </row>
    <row r="11">
      <c r="B11" s="3" t="inlineStr">
        <is>
          <t>Total assets</t>
        </is>
      </c>
      <c r="C11" s="25">
        <f>SUM(C7:C10)</f>
        <v>341000</v>
      </c>
      <c r="D11" s="26">
        <f>SUM(D7:D10)</f>
        <v>340661.68</v>
      </c>
      <c r="E11" s="26">
        <f>SUM(E7:E10)</f>
        <v>339883.042733333</v>
      </c>
      <c r="F11" s="26">
        <f>SUM(F7:F10)</f>
        <v>393904.854716667</v>
      </c>
      <c r="G11" s="26">
        <f>SUM(G7:G10)</f>
        <v>399388.215570922</v>
      </c>
      <c r="H11" s="26">
        <f>SUM(H7:H10)</f>
        <v>407142.200722459</v>
      </c>
      <c r="I11" s="26">
        <f>SUM(I7:I10)</f>
        <v>413820.604478313</v>
      </c>
      <c r="J11" s="26">
        <f>SUM(J7:J10)</f>
        <v>400417.082264453</v>
      </c>
      <c r="K11" s="26">
        <f>SUM(K7:K10)</f>
        <v>409898.259776867</v>
      </c>
      <c r="L11" s="26">
        <f>SUM(L7:L10)</f>
        <v>413431.169458706</v>
      </c>
      <c r="M11" s="26">
        <f>SUM(M7:M10)</f>
        <v>424342.633284694</v>
      </c>
      <c r="N11" s="26">
        <f>SUM(N7:N10)</f>
        <v>432962.32032853</v>
      </c>
      <c r="O11" s="26">
        <f>SUM(O7:O10)</f>
        <v>434570.892768967</v>
      </c>
      <c r="P11" s="26">
        <f>SUM(P7:P10)</f>
        <v>454933.479598282</v>
      </c>
      <c r="Q11" s="26">
        <f>SUM(Q7:Q10)</f>
        <v>469732.162138263</v>
      </c>
      <c r="R11" s="26">
        <f>SUM(R7:R10)</f>
        <v>481123.889106945</v>
      </c>
      <c r="S11" s="26">
        <f>SUM(S7:S10)</f>
        <v>505807.896493155</v>
      </c>
      <c r="T11" s="26">
        <f>SUM(T7:T10)</f>
        <v>532726.397222051</v>
      </c>
      <c r="U11" s="26">
        <f>SUM(U7:U10)</f>
        <v>561053.136174306</v>
      </c>
      <c r="V11" s="26">
        <f>SUM(V7:V10)</f>
        <v>558588.870778734</v>
      </c>
      <c r="W11" s="26">
        <f>SUM(W7:W10)</f>
        <v>586838.483673726</v>
      </c>
      <c r="X11" s="26">
        <f>SUM(X7:X10)</f>
        <v>609839.285437911</v>
      </c>
      <c r="Y11" s="26">
        <f>SUM(Y7:Y10)</f>
        <v>639331.733640835</v>
      </c>
      <c r="Z11" s="26">
        <f>SUM(Z7:Z10)</f>
        <v>665469.107977235</v>
      </c>
      <c r="AA11" s="26">
        <f>SUM(AA7:AA10)</f>
        <v>684975.68709818</v>
      </c>
    </row>
    <row r="13">
      <c r="B13" t="inlineStr">
        <is>
          <t>Trade creditors</t>
        </is>
      </c>
      <c r="C13" s="8">
        <f>Assumptions!$D$49</f>
        <v>31000</v>
      </c>
      <c r="D13" s="8">
        <f>-'P&amp;L'!D16*Assumptions!$G$31/30</f>
        <v>34920.72</v>
      </c>
      <c r="E13" s="8">
        <f>-'P&amp;L'!E16*Assumptions!$G$31/30</f>
        <v>35193.9168</v>
      </c>
      <c r="F13" s="8">
        <f>-'P&amp;L'!F16*Assumptions!$G$31/30</f>
        <v>36909.4752</v>
      </c>
      <c r="G13" s="8">
        <f>-'P&amp;L'!G16*Assumptions!$G$31/30</f>
        <v>39050.16659712</v>
      </c>
      <c r="H13" s="8">
        <f>-'P&amp;L'!H16*Assumptions!$G$31/30</f>
        <v>40868.313744384</v>
      </c>
      <c r="I13" s="8">
        <f>-'P&amp;L'!I16*Assumptions!$G$31/30</f>
        <v>44730.4018978898</v>
      </c>
      <c r="J13" s="8">
        <f>-'P&amp;L'!J16*Assumptions!$G$31/30</f>
        <v>36044.6887804517</v>
      </c>
      <c r="K13" s="8">
        <f>-'P&amp;L'!K16*Assumptions!$G$31/30</f>
        <v>39888.956332111</v>
      </c>
      <c r="L13" s="8">
        <f>-'P&amp;L'!L16*Assumptions!$G$31/30</f>
        <v>43023.4929881613</v>
      </c>
      <c r="M13" s="8">
        <f>-'P&amp;L'!M16*Assumptions!$G$31/30</f>
        <v>44065.3596479245</v>
      </c>
      <c r="N13" s="8">
        <f>-'P&amp;L'!N16*Assumptions!$G$31/30</f>
        <v>43760.6867396565</v>
      </c>
      <c r="O13" s="8">
        <f>-'P&amp;L'!O16*Assumptions!$G$31/30</f>
        <v>44323.0865680326</v>
      </c>
      <c r="P13" s="8">
        <f>-'P&amp;L'!P16*Assumptions!$G$31/30</f>
        <v>48649.7999428907</v>
      </c>
      <c r="Q13" s="8">
        <f>-'P&amp;L'!Q16*Assumptions!$G$31/30</f>
        <v>48757.1028974735</v>
      </c>
      <c r="R13" s="8">
        <f>-'P&amp;L'!R16*Assumptions!$G$31/30</f>
        <v>50862.1663940235</v>
      </c>
      <c r="S13" s="8">
        <f>-'P&amp;L'!S16*Assumptions!$G$31/30</f>
        <v>53539.4156332411</v>
      </c>
      <c r="T13" s="8">
        <f>-'P&amp;L'!T16*Assumptions!$G$31/30</f>
        <v>55761.1411659352</v>
      </c>
      <c r="U13" s="8">
        <f>-'P&amp;L'!U16*Assumptions!$G$31/30</f>
        <v>60748.6059533375</v>
      </c>
      <c r="V13" s="8">
        <f>-'P&amp;L'!V16*Assumptions!$G$31/30</f>
        <v>48736.2586576204</v>
      </c>
      <c r="W13" s="8">
        <f>-'P&amp;L'!W16*Assumptions!$G$31/30</f>
        <v>53706.2274282934</v>
      </c>
      <c r="X13" s="8">
        <f>-'P&amp;L'!X16*Assumptions!$G$31/30</f>
        <v>57692.272812694</v>
      </c>
      <c r="Y13" s="8">
        <f>-'P&amp;L'!Y16*Assumptions!$G$31/30</f>
        <v>58860.4904769479</v>
      </c>
      <c r="Z13" s="8">
        <f>-'P&amp;L'!Z16*Assumptions!$G$31/30</f>
        <v>58236.5692778922</v>
      </c>
      <c r="AA13" s="8">
        <f>-'P&amp;L'!AA16*Assumptions!$G$31/30</f>
        <v>58775.1188008479</v>
      </c>
    </row>
    <row r="14">
      <c r="B14" t="inlineStr">
        <is>
          <t>Tax payable</t>
        </is>
      </c>
      <c r="C14" s="8">
        <f>Assumptions!$D$50</f>
        <v>3000</v>
      </c>
      <c r="D14" s="8">
        <f>-'P&amp;L'!D32</f>
        <v>310.24</v>
      </c>
      <c r="E14" s="8">
        <f>-'P&amp;L'!E32</f>
        <v>439.60148333333</v>
      </c>
      <c r="F14" s="8">
        <f>-'P&amp;L'!F32</f>
        <v>1186.46376666666</v>
      </c>
      <c r="G14" s="8">
        <f>-'P&amp;L'!G32</f>
        <v>1757.28330595048</v>
      </c>
      <c r="H14" s="8">
        <f>-'P&amp;L'!H32</f>
        <v>2548.28032755581</v>
      </c>
      <c r="I14" s="8">
        <f>-'P&amp;L'!I32</f>
        <v>4216.14898247596</v>
      </c>
      <c r="J14" s="8">
        <f>-'P&amp;L'!J32</f>
        <v>499.584971513555</v>
      </c>
      <c r="K14" s="8">
        <f>-'P&amp;L'!K32</f>
        <v>2159.12373306706</v>
      </c>
      <c r="L14" s="8">
        <f>-'P&amp;L'!L32</f>
        <v>3514.37418971411</v>
      </c>
      <c r="M14" s="8">
        <f>-'P&amp;L'!M32</f>
        <v>3970.99283898459</v>
      </c>
      <c r="N14" s="8">
        <f>-'P&amp;L'!N32</f>
        <v>3848.8381977723</v>
      </c>
      <c r="O14" s="8">
        <f>-'P&amp;L'!O32</f>
        <v>4098.75270245809</v>
      </c>
      <c r="P14" s="8">
        <f>-'P&amp;L'!P32</f>
        <v>5658.65653922877</v>
      </c>
      <c r="Q14" s="8">
        <f>-'P&amp;L'!Q32</f>
        <v>5712.50903115688</v>
      </c>
      <c r="R14" s="8">
        <f>-'P&amp;L'!R32</f>
        <v>6624.79312582218</v>
      </c>
      <c r="S14" s="8">
        <f>-'P&amp;L'!S32</f>
        <v>7782.88781820355</v>
      </c>
      <c r="T14" s="8">
        <f>-'P&amp;L'!T32</f>
        <v>8744.91575360148</v>
      </c>
      <c r="U14" s="8">
        <f>-'P&amp;L'!U32</f>
        <v>10896.0474796136</v>
      </c>
      <c r="V14" s="8">
        <f>-'P&amp;L'!V32</f>
        <v>5736.03234493962</v>
      </c>
      <c r="W14" s="8">
        <f>-'P&amp;L'!W32</f>
        <v>7878.91911731462</v>
      </c>
      <c r="X14" s="8">
        <f>-'P&amp;L'!X32</f>
        <v>9598.41887427465</v>
      </c>
      <c r="Y14" s="8">
        <f>-'P&amp;L'!Y32</f>
        <v>10105.6623532363</v>
      </c>
      <c r="Z14" s="8">
        <f>-'P&amp;L'!Z32</f>
        <v>9841.73947217298</v>
      </c>
      <c r="AA14" s="8">
        <f>-'P&amp;L'!AA32</f>
        <v>10077.4422675405</v>
      </c>
    </row>
    <row r="15">
      <c r="B15" t="inlineStr">
        <is>
          <t>Equipment loan</t>
        </is>
      </c>
      <c r="C15" s="8">
        <f>Assumptions!$D$51</f>
        <v>120000</v>
      </c>
      <c r="D15" s="8">
        <f>C15+'Cash Flow'!D18+'Cash Flow'!D19</f>
        <v>117500</v>
      </c>
      <c r="E15" s="8">
        <f>D15+'Cash Flow'!E18+'Cash Flow'!E19</f>
        <v>115000</v>
      </c>
      <c r="F15" s="8">
        <f>E15+'Cash Flow'!F18+'Cash Flow'!F19</f>
        <v>172000</v>
      </c>
      <c r="G15" s="8">
        <f>F15+'Cash Flow'!G18+'Cash Flow'!G19</f>
        <v>169500</v>
      </c>
      <c r="H15" s="8">
        <f>G15+'Cash Flow'!H18+'Cash Flow'!H19</f>
        <v>167000</v>
      </c>
      <c r="I15" s="8">
        <f>H15+'Cash Flow'!I18+'Cash Flow'!I19</f>
        <v>164500</v>
      </c>
      <c r="J15" s="8">
        <f>I15+'Cash Flow'!J18+'Cash Flow'!J19</f>
        <v>162000</v>
      </c>
      <c r="K15" s="8">
        <f>J15+'Cash Flow'!K18+'Cash Flow'!K19</f>
        <v>159500</v>
      </c>
      <c r="L15" s="8">
        <f>K15+'Cash Flow'!L18+'Cash Flow'!L19</f>
        <v>157000</v>
      </c>
      <c r="M15" s="8">
        <f>L15+'Cash Flow'!M18+'Cash Flow'!M19</f>
        <v>154500</v>
      </c>
      <c r="N15" s="8">
        <f>M15+'Cash Flow'!N18+'Cash Flow'!N19</f>
        <v>152000</v>
      </c>
      <c r="O15" s="8">
        <f>N15+'Cash Flow'!O18+'Cash Flow'!O19</f>
        <v>149500</v>
      </c>
      <c r="P15" s="8">
        <f>O15+'Cash Flow'!P18+'Cash Flow'!P19</f>
        <v>147000</v>
      </c>
      <c r="Q15" s="8">
        <f>P15+'Cash Flow'!Q18+'Cash Flow'!Q19</f>
        <v>144500</v>
      </c>
      <c r="R15" s="8">
        <f>Q15+'Cash Flow'!R18+'Cash Flow'!R19</f>
        <v>142000</v>
      </c>
      <c r="S15" s="8">
        <f>R15+'Cash Flow'!S18+'Cash Flow'!S19</f>
        <v>139500</v>
      </c>
      <c r="T15" s="8">
        <f>S15+'Cash Flow'!T18+'Cash Flow'!T19</f>
        <v>137000</v>
      </c>
      <c r="U15" s="8">
        <f>T15+'Cash Flow'!U18+'Cash Flow'!U19</f>
        <v>134500</v>
      </c>
      <c r="V15" s="8">
        <f>U15+'Cash Flow'!V18+'Cash Flow'!V19</f>
        <v>132000</v>
      </c>
      <c r="W15" s="8">
        <f>V15+'Cash Flow'!W18+'Cash Flow'!W19</f>
        <v>129500</v>
      </c>
      <c r="X15" s="8">
        <f>W15+'Cash Flow'!X18+'Cash Flow'!X19</f>
        <v>127000</v>
      </c>
      <c r="Y15" s="8">
        <f>X15+'Cash Flow'!Y18+'Cash Flow'!Y19</f>
        <v>124500</v>
      </c>
      <c r="Z15" s="8">
        <f>Y15+'Cash Flow'!Z18+'Cash Flow'!Z19</f>
        <v>122000</v>
      </c>
      <c r="AA15" s="8">
        <f>Z15+'Cash Flow'!AA18+'Cash Flow'!AA19</f>
        <v>119500</v>
      </c>
    </row>
    <row r="16">
      <c r="B16" s="3" t="inlineStr">
        <is>
          <t>Total liabilities</t>
        </is>
      </c>
      <c r="C16" s="25">
        <f>SUM(C13:C15)</f>
        <v>154000</v>
      </c>
      <c r="D16" s="26">
        <f>SUM(D13:D15)</f>
        <v>152730.96</v>
      </c>
      <c r="E16" s="26">
        <f>SUM(E13:E15)</f>
        <v>150633.518283333</v>
      </c>
      <c r="F16" s="26">
        <f>SUM(F13:F15)</f>
        <v>210095.938966667</v>
      </c>
      <c r="G16" s="26">
        <f>SUM(G13:G15)</f>
        <v>210307.449903071</v>
      </c>
      <c r="H16" s="26">
        <f>SUM(H13:H15)</f>
        <v>210416.59407194</v>
      </c>
      <c r="I16" s="26">
        <f>SUM(I13:I15)</f>
        <v>213446.550880366</v>
      </c>
      <c r="J16" s="26">
        <f>SUM(J13:J15)</f>
        <v>198544.273751965</v>
      </c>
      <c r="K16" s="26">
        <f>SUM(K13:K15)</f>
        <v>201548.080065178</v>
      </c>
      <c r="L16" s="26">
        <f>SUM(L13:L15)</f>
        <v>203537.867177875</v>
      </c>
      <c r="M16" s="26">
        <f>SUM(M13:M15)</f>
        <v>202536.352486909</v>
      </c>
      <c r="N16" s="26">
        <f>SUM(N13:N15)</f>
        <v>199609.524937429</v>
      </c>
      <c r="O16" s="26">
        <f>SUM(O13:O15)</f>
        <v>197921.839270491</v>
      </c>
      <c r="P16" s="26">
        <f>SUM(P13:P15)</f>
        <v>201308.456482119</v>
      </c>
      <c r="Q16" s="26">
        <f>SUM(Q13:Q15)</f>
        <v>198969.61192863</v>
      </c>
      <c r="R16" s="26">
        <f>SUM(R13:R15)</f>
        <v>199486.959519846</v>
      </c>
      <c r="S16" s="26">
        <f>SUM(S13:S15)</f>
        <v>200822.303451445</v>
      </c>
      <c r="T16" s="26">
        <f>SUM(T13:T15)</f>
        <v>201506.056919537</v>
      </c>
      <c r="U16" s="26">
        <f>SUM(U13:U15)</f>
        <v>206144.653432951</v>
      </c>
      <c r="V16" s="26">
        <f>SUM(V13:V15)</f>
        <v>186472.29100256</v>
      </c>
      <c r="W16" s="26">
        <f>SUM(W13:W15)</f>
        <v>191085.146545608</v>
      </c>
      <c r="X16" s="26">
        <f>SUM(X13:X15)</f>
        <v>194290.691686969</v>
      </c>
      <c r="Y16" s="26">
        <f>SUM(Y13:Y15)</f>
        <v>193466.152830184</v>
      </c>
      <c r="Z16" s="26">
        <f>SUM(Z13:Z15)</f>
        <v>190078.308750065</v>
      </c>
      <c r="AA16" s="26">
        <f>SUM(AA13:AA15)</f>
        <v>188352.561068388</v>
      </c>
    </row>
    <row r="18">
      <c r="B18" t="inlineStr">
        <is>
          <t>Share capital</t>
        </is>
      </c>
      <c r="C18" s="8">
        <f>Assumptions!$D$52</f>
        <v>50000</v>
      </c>
      <c r="D18" s="8">
        <f>C18</f>
        <v>50000</v>
      </c>
      <c r="E18" s="8">
        <f>D18</f>
        <v>50000</v>
      </c>
      <c r="F18" s="8">
        <f>E18</f>
        <v>50000</v>
      </c>
      <c r="G18" s="8">
        <f>F18</f>
        <v>50000</v>
      </c>
      <c r="H18" s="8">
        <f>G18</f>
        <v>50000</v>
      </c>
      <c r="I18" s="8">
        <f>H18</f>
        <v>50000</v>
      </c>
      <c r="J18" s="8">
        <f>I18</f>
        <v>50000</v>
      </c>
      <c r="K18" s="8">
        <f>J18</f>
        <v>50000</v>
      </c>
      <c r="L18" s="8">
        <f>K18</f>
        <v>50000</v>
      </c>
      <c r="M18" s="8">
        <f>L18</f>
        <v>50000</v>
      </c>
      <c r="N18" s="8">
        <f>M18</f>
        <v>50000</v>
      </c>
      <c r="O18" s="8">
        <f>N18</f>
        <v>50000</v>
      </c>
      <c r="P18" s="8">
        <f>O18</f>
        <v>50000</v>
      </c>
      <c r="Q18" s="8">
        <f>P18</f>
        <v>50000</v>
      </c>
      <c r="R18" s="8">
        <f>Q18</f>
        <v>50000</v>
      </c>
      <c r="S18" s="8">
        <f>R18</f>
        <v>50000</v>
      </c>
      <c r="T18" s="8">
        <f>S18</f>
        <v>50000</v>
      </c>
      <c r="U18" s="8">
        <f>T18</f>
        <v>50000</v>
      </c>
      <c r="V18" s="8">
        <f>U18</f>
        <v>50000</v>
      </c>
      <c r="W18" s="8">
        <f>V18</f>
        <v>50000</v>
      </c>
      <c r="X18" s="8">
        <f>W18</f>
        <v>50000</v>
      </c>
      <c r="Y18" s="8">
        <f>X18</f>
        <v>50000</v>
      </c>
      <c r="Z18" s="8">
        <f>Y18</f>
        <v>50000</v>
      </c>
      <c r="AA18" s="8">
        <f>Z18</f>
        <v>50000</v>
      </c>
    </row>
    <row r="19">
      <c r="B19" t="inlineStr">
        <is>
          <t>Retained earnings</t>
        </is>
      </c>
      <c r="C19" s="8">
        <f>Assumptions!$D$53</f>
        <v>137000</v>
      </c>
      <c r="D19" s="8">
        <f>C19+'P&amp;L'!D33+'Cash Flow'!D20</f>
        <v>137930.72</v>
      </c>
      <c r="E19" s="8">
        <f>D19+'P&amp;L'!E33+'Cash Flow'!E20</f>
        <v>139249.52445</v>
      </c>
      <c r="F19" s="8">
        <f>E19+'P&amp;L'!F33+'Cash Flow'!F20</f>
        <v>133808.91575</v>
      </c>
      <c r="G19" s="8">
        <f>F19+'P&amp;L'!G33+'Cash Flow'!G20</f>
        <v>139080.765667851</v>
      </c>
      <c r="H19" s="8">
        <f>G19+'P&amp;L'!H33+'Cash Flow'!H20</f>
        <v>146725.606650519</v>
      </c>
      <c r="I19" s="8">
        <f>H19+'P&amp;L'!I33+'Cash Flow'!I20</f>
        <v>150374.053597947</v>
      </c>
      <c r="J19" s="8">
        <f>I19+'P&amp;L'!J33+'Cash Flow'!J20</f>
        <v>151872.808512487</v>
      </c>
      <c r="K19" s="8">
        <f>J19+'P&amp;L'!K33+'Cash Flow'!K20</f>
        <v>158350.179711689</v>
      </c>
      <c r="L19" s="8">
        <f>K19+'P&amp;L'!L33+'Cash Flow'!L20</f>
        <v>159893.302280831</v>
      </c>
      <c r="M19" s="8">
        <f>L19+'P&amp;L'!M33+'Cash Flow'!M20</f>
        <v>171806.280797785</v>
      </c>
      <c r="N19" s="8">
        <f>M19+'P&amp;L'!N33+'Cash Flow'!N20</f>
        <v>183352.795391102</v>
      </c>
      <c r="O19" s="8">
        <f>N19+'P&amp;L'!O33+'Cash Flow'!O20</f>
        <v>186649.053498476</v>
      </c>
      <c r="P19" s="8">
        <f>O19+'P&amp;L'!P33+'Cash Flow'!P20</f>
        <v>203625.023116162</v>
      </c>
      <c r="Q19" s="8">
        <f>P19+'P&amp;L'!Q33+'Cash Flow'!Q20</f>
        <v>220762.550209633</v>
      </c>
      <c r="R19" s="8">
        <f>Q19+'P&amp;L'!R33+'Cash Flow'!R20</f>
        <v>231636.929587099</v>
      </c>
      <c r="S19" s="8">
        <f>R19+'P&amp;L'!S33+'Cash Flow'!S20</f>
        <v>254985.59304171</v>
      </c>
      <c r="T19" s="8">
        <f>S19+'P&amp;L'!T33+'Cash Flow'!T20</f>
        <v>281220.340302514</v>
      </c>
      <c r="U19" s="8">
        <f>T19+'P&amp;L'!U33+'Cash Flow'!U20</f>
        <v>304908.482741355</v>
      </c>
      <c r="V19" s="8">
        <f>U19+'P&amp;L'!V33+'Cash Flow'!V20</f>
        <v>322116.579776174</v>
      </c>
      <c r="W19" s="8">
        <f>V19+'P&amp;L'!W33+'Cash Flow'!W20</f>
        <v>345753.337128118</v>
      </c>
      <c r="X19" s="8">
        <f>W19+'P&amp;L'!X33+'Cash Flow'!X20</f>
        <v>365548.593750942</v>
      </c>
      <c r="Y19" s="8">
        <f>X19+'P&amp;L'!Y33+'Cash Flow'!Y20</f>
        <v>395865.580810651</v>
      </c>
      <c r="Z19" s="8">
        <f>Y19+'P&amp;L'!Z33+'Cash Flow'!Z20</f>
        <v>425390.79922717</v>
      </c>
      <c r="AA19" s="8">
        <f>Z19+'P&amp;L'!AA33+'Cash Flow'!AA20</f>
        <v>446623.126029792</v>
      </c>
    </row>
    <row r="20">
      <c r="B20" s="3" t="inlineStr">
        <is>
          <t>Total equity</t>
        </is>
      </c>
      <c r="C20" s="25">
        <f>C18+C19</f>
        <v>187000</v>
      </c>
      <c r="D20" s="26">
        <f>D18+D19</f>
        <v>187930.72</v>
      </c>
      <c r="E20" s="26">
        <f>E18+E19</f>
        <v>189249.52445</v>
      </c>
      <c r="F20" s="26">
        <f>F18+F19</f>
        <v>183808.91575</v>
      </c>
      <c r="G20" s="26">
        <f>G18+G19</f>
        <v>189080.765667851</v>
      </c>
      <c r="H20" s="26">
        <f>H18+H19</f>
        <v>196725.606650519</v>
      </c>
      <c r="I20" s="26">
        <f>I18+I19</f>
        <v>200374.053597947</v>
      </c>
      <c r="J20" s="26">
        <f>J18+J19</f>
        <v>201872.808512487</v>
      </c>
      <c r="K20" s="26">
        <f>K18+K19</f>
        <v>208350.179711689</v>
      </c>
      <c r="L20" s="26">
        <f>L18+L19</f>
        <v>209893.302280831</v>
      </c>
      <c r="M20" s="26">
        <f>M18+M19</f>
        <v>221806.280797785</v>
      </c>
      <c r="N20" s="26">
        <f>N18+N19</f>
        <v>233352.795391102</v>
      </c>
      <c r="O20" s="26">
        <f>O18+O19</f>
        <v>236649.053498476</v>
      </c>
      <c r="P20" s="26">
        <f>P18+P19</f>
        <v>253625.023116162</v>
      </c>
      <c r="Q20" s="26">
        <f>Q18+Q19</f>
        <v>270762.550209633</v>
      </c>
      <c r="R20" s="26">
        <f>R18+R19</f>
        <v>281636.929587099</v>
      </c>
      <c r="S20" s="26">
        <f>S18+S19</f>
        <v>304985.59304171</v>
      </c>
      <c r="T20" s="26">
        <f>T18+T19</f>
        <v>331220.340302514</v>
      </c>
      <c r="U20" s="26">
        <f>U18+U19</f>
        <v>354908.482741355</v>
      </c>
      <c r="V20" s="26">
        <f>V18+V19</f>
        <v>372116.579776174</v>
      </c>
      <c r="W20" s="26">
        <f>W18+W19</f>
        <v>395753.337128118</v>
      </c>
      <c r="X20" s="26">
        <f>X18+X19</f>
        <v>415548.593750942</v>
      </c>
      <c r="Y20" s="26">
        <f>Y18+Y19</f>
        <v>445865.580810651</v>
      </c>
      <c r="Z20" s="26">
        <f>Z18+Z19</f>
        <v>475390.79922717</v>
      </c>
      <c r="AA20" s="26">
        <f>AA18+AA19</f>
        <v>496623.126029792</v>
      </c>
    </row>
    <row r="22">
      <c r="B22" s="3" t="inlineStr">
        <is>
          <t>Check: assets − liabilities − equity</t>
        </is>
      </c>
      <c r="C22" s="25">
        <f>ROUND(C11-C16-C20,2)</f>
        <v>0</v>
      </c>
      <c r="D22" s="28">
        <f>ROUND(D11-D16-D20,2)</f>
        <v>0</v>
      </c>
      <c r="E22" s="28">
        <f>ROUND(E11-E16-E20,2)</f>
        <v>0</v>
      </c>
      <c r="F22" s="28">
        <f>ROUND(F11-F16-F20,2)</f>
        <v>0</v>
      </c>
      <c r="G22" s="28">
        <f>ROUND(G11-G16-G20,2)</f>
        <v>0</v>
      </c>
      <c r="H22" s="28">
        <f>ROUND(H11-H16-H20,2)</f>
        <v>0</v>
      </c>
      <c r="I22" s="28">
        <f>ROUND(I11-I16-I20,2)</f>
        <v>0</v>
      </c>
      <c r="J22" s="28">
        <f>ROUND(J11-J16-J20,2)</f>
        <v>0</v>
      </c>
      <c r="K22" s="28">
        <f>ROUND(K11-K16-K20,2)</f>
        <v>0</v>
      </c>
      <c r="L22" s="28">
        <f>ROUND(L11-L16-L20,2)</f>
        <v>0</v>
      </c>
      <c r="M22" s="28">
        <f>ROUND(M11-M16-M20,2)</f>
        <v>0</v>
      </c>
      <c r="N22" s="28">
        <f>ROUND(N11-N16-N20,2)</f>
        <v>0</v>
      </c>
      <c r="O22" s="28">
        <f>ROUND(O11-O16-O20,2)</f>
        <v>0</v>
      </c>
      <c r="P22" s="28">
        <f>ROUND(P11-P16-P20,2)</f>
        <v>0</v>
      </c>
      <c r="Q22" s="28">
        <f>ROUND(Q11-Q16-Q20,2)</f>
        <v>0</v>
      </c>
      <c r="R22" s="28">
        <f>ROUND(R11-R16-R20,2)</f>
        <v>0</v>
      </c>
      <c r="S22" s="28">
        <f>ROUND(S11-S16-S20,2)</f>
        <v>0</v>
      </c>
      <c r="T22" s="28">
        <f>ROUND(T11-T16-T20,2)</f>
        <v>0</v>
      </c>
      <c r="U22" s="28">
        <f>ROUND(U11-U16-U20,2)</f>
        <v>0</v>
      </c>
      <c r="V22" s="28">
        <f>ROUND(V11-V16-V20,2)</f>
        <v>0</v>
      </c>
      <c r="W22" s="28">
        <f>ROUND(W11-W16-W20,2)</f>
        <v>0</v>
      </c>
      <c r="X22" s="28">
        <f>ROUND(X11-X16-X20,2)</f>
        <v>0</v>
      </c>
      <c r="Y22" s="28">
        <f>ROUND(Y11-Y16-Y20,2)</f>
        <v>0</v>
      </c>
      <c r="Z22" s="28">
        <f>ROUND(Z11-Z16-Z20,2)</f>
        <v>0</v>
      </c>
      <c r="AA22" s="28">
        <f>ROUND(AA11-AA16-AA20,2)</f>
        <v>0</v>
      </c>
    </row>
  </sheetData>
  <conditionalFormatting sqref="C22:AA22">
    <cfRule type="cellIs" priority="1" operator="notEqual" dxfId="0">
      <formula>0</formula>
    </cfRule>
    <cfRule type="cellIs" priority="2" operator="equal" dxfId="1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A7F86"/>
    <outlinePr summaryBelow="1" summaryRight="1"/>
    <pageSetUpPr/>
  </sheetPr>
  <dimension ref="B2:AC25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2" max="2"/>
    <col width="11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1.5" customWidth="1" min="18" max="18"/>
    <col width="11.5" customWidth="1" min="19" max="19"/>
    <col width="11.5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1.5" customWidth="1" min="27" max="27"/>
    <col width="11.5" customWidth="1" min="28" max="28"/>
    <col width="11.5" customWidth="1" min="29" max="29"/>
  </cols>
  <sheetData>
    <row r="2">
      <c r="B2" s="1" t="inlineStr">
        <is>
          <t>Cash flow statement</t>
        </is>
      </c>
    </row>
    <row r="3">
      <c r="B3" s="2" t="inlineStr">
        <is>
          <t>Indirect method, AUD  ·  Sample project, placeholder data.</t>
        </is>
      </c>
    </row>
    <row r="5">
      <c r="B5" s="7" t="inlineStr">
        <is>
          <t>Month</t>
        </is>
      </c>
      <c r="C5" s="7" t="n"/>
      <c r="D5" s="21" t="n">
        <v>46204</v>
      </c>
      <c r="E5" s="21" t="n">
        <v>46235</v>
      </c>
      <c r="F5" s="21" t="n">
        <v>46266</v>
      </c>
      <c r="G5" s="21" t="n">
        <v>46296</v>
      </c>
      <c r="H5" s="21" t="n">
        <v>46327</v>
      </c>
      <c r="I5" s="21" t="n">
        <v>46357</v>
      </c>
      <c r="J5" s="21" t="n">
        <v>46388</v>
      </c>
      <c r="K5" s="21" t="n">
        <v>46419</v>
      </c>
      <c r="L5" s="21" t="n">
        <v>46447</v>
      </c>
      <c r="M5" s="21" t="n">
        <v>46478</v>
      </c>
      <c r="N5" s="21" t="n">
        <v>46508</v>
      </c>
      <c r="O5" s="21" t="n">
        <v>46539</v>
      </c>
      <c r="P5" s="21" t="n">
        <v>46569</v>
      </c>
      <c r="Q5" s="21" t="n">
        <v>46600</v>
      </c>
      <c r="R5" s="21" t="n">
        <v>46631</v>
      </c>
      <c r="S5" s="21" t="n">
        <v>46661</v>
      </c>
      <c r="T5" s="21" t="n">
        <v>46692</v>
      </c>
      <c r="U5" s="21" t="n">
        <v>46722</v>
      </c>
      <c r="V5" s="21" t="n">
        <v>46753</v>
      </c>
      <c r="W5" s="21" t="n">
        <v>46784</v>
      </c>
      <c r="X5" s="21" t="n">
        <v>46813</v>
      </c>
      <c r="Y5" s="21" t="n">
        <v>46844</v>
      </c>
      <c r="Z5" s="21" t="n">
        <v>46874</v>
      </c>
      <c r="AA5" s="21" t="n">
        <v>46905</v>
      </c>
      <c r="AB5" s="7" t="n"/>
      <c r="AC5" s="7" t="n"/>
    </row>
    <row r="6">
      <c r="B6" t="inlineStr">
        <is>
          <t>Month no.</t>
        </is>
      </c>
      <c r="D6" t="n">
        <v>1</v>
      </c>
      <c r="E6" t="n">
        <v>2</v>
      </c>
      <c r="F6" t="n">
        <v>3</v>
      </c>
      <c r="G6" t="n">
        <v>4</v>
      </c>
      <c r="H6" t="n">
        <v>5</v>
      </c>
      <c r="I6" t="n">
        <v>6</v>
      </c>
      <c r="J6" t="n">
        <v>7</v>
      </c>
      <c r="K6" t="n">
        <v>8</v>
      </c>
      <c r="L6" t="n">
        <v>9</v>
      </c>
      <c r="M6" t="n">
        <v>10</v>
      </c>
      <c r="N6" t="n">
        <v>11</v>
      </c>
      <c r="O6" t="n">
        <v>12</v>
      </c>
      <c r="P6" t="n">
        <v>13</v>
      </c>
      <c r="Q6" t="n">
        <v>14</v>
      </c>
      <c r="R6" t="n">
        <v>15</v>
      </c>
      <c r="S6" t="n">
        <v>16</v>
      </c>
      <c r="T6" t="n">
        <v>17</v>
      </c>
      <c r="U6" t="n">
        <v>18</v>
      </c>
      <c r="V6" t="n">
        <v>19</v>
      </c>
      <c r="W6" t="n">
        <v>20</v>
      </c>
      <c r="X6" t="n">
        <v>21</v>
      </c>
      <c r="Y6" t="n">
        <v>22</v>
      </c>
      <c r="Z6" t="n">
        <v>23</v>
      </c>
      <c r="AA6" t="n">
        <v>24</v>
      </c>
    </row>
    <row r="7">
      <c r="B7" t="inlineStr">
        <is>
          <t>Net profit after tax</t>
        </is>
      </c>
      <c r="D7" s="8">
        <f>'P&amp;L'!D33</f>
        <v>930.719999999999</v>
      </c>
      <c r="E7" s="8">
        <f>'P&amp;L'!E33</f>
        <v>1318.80444999999</v>
      </c>
      <c r="F7" s="8">
        <f>'P&amp;L'!F33</f>
        <v>3559.39129999999</v>
      </c>
      <c r="G7" s="8">
        <f>'P&amp;L'!G33</f>
        <v>5271.84991785144</v>
      </c>
      <c r="H7" s="8">
        <f>'P&amp;L'!H33</f>
        <v>7644.84098266743</v>
      </c>
      <c r="I7" s="8">
        <f>'P&amp;L'!I33</f>
        <v>12648.4469474279</v>
      </c>
      <c r="J7" s="8">
        <f>'P&amp;L'!J33</f>
        <v>1498.75491454066</v>
      </c>
      <c r="K7" s="8">
        <f>'P&amp;L'!K33</f>
        <v>6477.37119920119</v>
      </c>
      <c r="L7" s="8">
        <f>'P&amp;L'!L33</f>
        <v>10543.1225691423</v>
      </c>
      <c r="M7" s="8">
        <f>'P&amp;L'!M33</f>
        <v>11912.9785169538</v>
      </c>
      <c r="N7" s="8">
        <f>'P&amp;L'!N33</f>
        <v>11546.5145933169</v>
      </c>
      <c r="O7" s="8">
        <f>'P&amp;L'!O33</f>
        <v>12296.2581073743</v>
      </c>
      <c r="P7" s="8">
        <f>'P&amp;L'!P33</f>
        <v>16975.9696176863</v>
      </c>
      <c r="Q7" s="8">
        <f>'P&amp;L'!Q33</f>
        <v>17137.5270934706</v>
      </c>
      <c r="R7" s="8">
        <f>'P&amp;L'!R33</f>
        <v>19874.3793774665</v>
      </c>
      <c r="S7" s="8">
        <f>'P&amp;L'!S33</f>
        <v>23348.6634546106</v>
      </c>
      <c r="T7" s="8">
        <f>'P&amp;L'!T33</f>
        <v>26234.7472608044</v>
      </c>
      <c r="U7" s="8">
        <f>'P&amp;L'!U33</f>
        <v>32688.1424388409</v>
      </c>
      <c r="V7" s="8">
        <f>'P&amp;L'!V33</f>
        <v>17208.0970348188</v>
      </c>
      <c r="W7" s="8">
        <f>'P&amp;L'!W33</f>
        <v>23636.7573519439</v>
      </c>
      <c r="X7" s="8">
        <f>'P&amp;L'!X33</f>
        <v>28795.256622824</v>
      </c>
      <c r="Y7" s="8">
        <f>'P&amp;L'!Y33</f>
        <v>30316.987059709</v>
      </c>
      <c r="Z7" s="8">
        <f>'P&amp;L'!Z33</f>
        <v>29525.2184165189</v>
      </c>
      <c r="AA7" s="8">
        <f>'P&amp;L'!AA33</f>
        <v>30232.3268026215</v>
      </c>
    </row>
    <row r="8">
      <c r="B8" t="inlineStr">
        <is>
          <t>Add back depreciation</t>
        </is>
      </c>
      <c r="D8" s="8">
        <f>-'P&amp;L'!D28</f>
        <v>2400</v>
      </c>
      <c r="E8" s="8">
        <f>-'P&amp;L'!E28</f>
        <v>2400</v>
      </c>
      <c r="F8" s="8">
        <f>-'P&amp;L'!F28</f>
        <v>2400</v>
      </c>
      <c r="G8" s="8">
        <f>-'P&amp;L'!G28</f>
        <v>3411.90476190476</v>
      </c>
      <c r="H8" s="8">
        <f>-'P&amp;L'!H28</f>
        <v>3411.90476190476</v>
      </c>
      <c r="I8" s="8">
        <f>-'P&amp;L'!I28</f>
        <v>3411.90476190476</v>
      </c>
      <c r="J8" s="8">
        <f>-'P&amp;L'!J28</f>
        <v>3411.90476190476</v>
      </c>
      <c r="K8" s="8">
        <f>-'P&amp;L'!K28</f>
        <v>3411.90476190476</v>
      </c>
      <c r="L8" s="8">
        <f>-'P&amp;L'!L28</f>
        <v>3411.90476190476</v>
      </c>
      <c r="M8" s="8">
        <f>-'P&amp;L'!M28</f>
        <v>3411.90476190476</v>
      </c>
      <c r="N8" s="8">
        <f>-'P&amp;L'!N28</f>
        <v>3411.90476190476</v>
      </c>
      <c r="O8" s="8">
        <f>-'P&amp;L'!O28</f>
        <v>3411.90476190476</v>
      </c>
      <c r="P8" s="8">
        <f>-'P&amp;L'!P28</f>
        <v>3411.90476190476</v>
      </c>
      <c r="Q8" s="8">
        <f>-'P&amp;L'!Q28</f>
        <v>3411.90476190476</v>
      </c>
      <c r="R8" s="8">
        <f>-'P&amp;L'!R28</f>
        <v>3411.90476190476</v>
      </c>
      <c r="S8" s="8">
        <f>-'P&amp;L'!S28</f>
        <v>3411.90476190476</v>
      </c>
      <c r="T8" s="8">
        <f>-'P&amp;L'!T28</f>
        <v>3411.90476190476</v>
      </c>
      <c r="U8" s="8">
        <f>-'P&amp;L'!U28</f>
        <v>3411.90476190476</v>
      </c>
      <c r="V8" s="8">
        <f>-'P&amp;L'!V28</f>
        <v>3411.90476190476</v>
      </c>
      <c r="W8" s="8">
        <f>-'P&amp;L'!W28</f>
        <v>3411.90476190476</v>
      </c>
      <c r="X8" s="8">
        <f>-'P&amp;L'!X28</f>
        <v>3411.90476190476</v>
      </c>
      <c r="Y8" s="8">
        <f>-'P&amp;L'!Y28</f>
        <v>3411.90476190476</v>
      </c>
      <c r="Z8" s="8">
        <f>-'P&amp;L'!Z28</f>
        <v>3411.90476190476</v>
      </c>
      <c r="AA8" s="8">
        <f>-'P&amp;L'!AA28</f>
        <v>3411.90476190476</v>
      </c>
    </row>
    <row r="9">
      <c r="B9" t="inlineStr">
        <is>
          <t>(Increase) / decrease in debtors</t>
        </is>
      </c>
      <c r="D9" s="8">
        <f>'Balance Sheet'!C8-'Balance Sheet'!D8</f>
        <v>-10540.8</v>
      </c>
      <c r="E9" s="8">
        <f>'Balance Sheet'!D8-'Balance Sheet'!E8</f>
        <v>-766.079999999995</v>
      </c>
      <c r="F9" s="8">
        <f>'Balance Sheet'!E8-'Balance Sheet'!F8</f>
        <v>-3064.32</v>
      </c>
      <c r="G9" s="8">
        <f>'Balance Sheet'!F8-'Balance Sheet'!G8</f>
        <v>-3753.792</v>
      </c>
      <c r="H9" s="8">
        <f>'Balance Sheet'!G8-'Balance Sheet'!H8</f>
        <v>-3236.68800000001</v>
      </c>
      <c r="I9" s="8">
        <f>'Balance Sheet'!H8-'Balance Sheet'!I8</f>
        <v>-6569.13600000001</v>
      </c>
      <c r="J9" s="8">
        <f>'Balance Sheet'!I8-'Balance Sheet'!J8</f>
        <v>13942.656</v>
      </c>
      <c r="K9" s="8">
        <f>'Balance Sheet'!J8-'Balance Sheet'!K8</f>
        <v>-6511.67999999999</v>
      </c>
      <c r="L9" s="8">
        <f>'Balance Sheet'!K8-'Balance Sheet'!L8</f>
        <v>-5362.56000000001</v>
      </c>
      <c r="M9" s="8">
        <f>'Balance Sheet'!L8-'Balance Sheet'!M8</f>
        <v>-1915.20000000001</v>
      </c>
      <c r="N9" s="8">
        <f>'Balance Sheet'!M8-'Balance Sheet'!N8</f>
        <v>325.584000000003</v>
      </c>
      <c r="O9" s="8">
        <f>'Balance Sheet'!N8-'Balance Sheet'!O8</f>
        <v>-1091.66399999998</v>
      </c>
      <c r="P9" s="8">
        <f>'Balance Sheet'!O8-'Balance Sheet'!P8</f>
        <v>-7335.21600000003</v>
      </c>
      <c r="Q9" s="8">
        <f>'Balance Sheet'!P8-'Balance Sheet'!Q8</f>
        <v>-315.624960000001</v>
      </c>
      <c r="R9" s="8">
        <f>'Balance Sheet'!Q8-'Balance Sheet'!R8</f>
        <v>-3629.68704</v>
      </c>
      <c r="S9" s="8">
        <f>'Balance Sheet'!R8-'Balance Sheet'!S8</f>
        <v>-4576.56192000001</v>
      </c>
      <c r="T9" s="8">
        <f>'Balance Sheet'!S8-'Balance Sheet'!T8</f>
        <v>-3807.22607999999</v>
      </c>
      <c r="U9" s="8">
        <f>'Balance Sheet'!T8-'Balance Sheet'!U8</f>
        <v>-8423.24111999999</v>
      </c>
      <c r="V9" s="8">
        <f>'Balance Sheet'!U8-'Balance Sheet'!V8</f>
        <v>20042.18496</v>
      </c>
      <c r="W9" s="8">
        <f>'Balance Sheet'!V8-'Balance Sheet'!W8</f>
        <v>-8364.06144000001</v>
      </c>
      <c r="X9" s="8">
        <f>'Balance Sheet'!W8-'Balance Sheet'!X8</f>
        <v>-6707.03040000002</v>
      </c>
      <c r="Y9" s="8">
        <f>'Balance Sheet'!X8-'Balance Sheet'!Y8</f>
        <v>-1972.65599999999</v>
      </c>
      <c r="Z9" s="8">
        <f>'Balance Sheet'!Y8-'Balance Sheet'!Z8</f>
        <v>1045.50768</v>
      </c>
      <c r="AA9" s="8">
        <f>'Balance Sheet'!Z8-'Balance Sheet'!AA8</f>
        <v>-887.695199999987</v>
      </c>
    </row>
    <row r="10">
      <c r="B10" t="inlineStr">
        <is>
          <t>(Increase) / decrease in inventory</t>
        </is>
      </c>
      <c r="D10" s="8">
        <f>'Balance Sheet'!C9-'Balance Sheet'!D9</f>
        <v>-381.080000000002</v>
      </c>
      <c r="E10" s="8">
        <f>'Balance Sheet'!D9-'Balance Sheet'!E9</f>
        <v>-409.795200000001</v>
      </c>
      <c r="F10" s="8">
        <f>'Balance Sheet'!E9-'Balance Sheet'!F9</f>
        <v>-2573.3376</v>
      </c>
      <c r="G10" s="8">
        <f>'Balance Sheet'!F9-'Balance Sheet'!G9</f>
        <v>-3211.03709568</v>
      </c>
      <c r="H10" s="8">
        <f>'Balance Sheet'!G9-'Balance Sheet'!H9</f>
        <v>-2727.220720896</v>
      </c>
      <c r="I10" s="8">
        <f>'Balance Sheet'!H9-'Balance Sheet'!I9</f>
        <v>-5793.1322302587</v>
      </c>
      <c r="J10" s="8">
        <f>'Balance Sheet'!I9-'Balance Sheet'!J9</f>
        <v>13028.5696761572</v>
      </c>
      <c r="K10" s="8">
        <f>'Balance Sheet'!J9-'Balance Sheet'!K9</f>
        <v>-5766.40132748897</v>
      </c>
      <c r="L10" s="8">
        <f>'Balance Sheet'!K9-'Balance Sheet'!L9</f>
        <v>-4701.80498407543</v>
      </c>
      <c r="M10" s="8">
        <f>'Balance Sheet'!L9-'Balance Sheet'!M9</f>
        <v>-1562.79998964485</v>
      </c>
      <c r="N10" s="8">
        <f>'Balance Sheet'!M9-'Balance Sheet'!N9</f>
        <v>457.009362401994</v>
      </c>
      <c r="O10" s="8">
        <f>'Balance Sheet'!N9-'Balance Sheet'!O9</f>
        <v>-843.599742564184</v>
      </c>
      <c r="P10" s="8">
        <f>'Balance Sheet'!O9-'Balance Sheet'!P9</f>
        <v>-6490.07006228711</v>
      </c>
      <c r="Q10" s="8">
        <f>'Balance Sheet'!P9-'Balance Sheet'!Q9</f>
        <v>-160.95443187427</v>
      </c>
      <c r="R10" s="8">
        <f>'Balance Sheet'!Q9-'Balance Sheet'!R9</f>
        <v>-3157.59524482492</v>
      </c>
      <c r="S10" s="8">
        <f>'Balance Sheet'!R9-'Balance Sheet'!S9</f>
        <v>-4015.8738588264</v>
      </c>
      <c r="T10" s="8">
        <f>'Balance Sheet'!S9-'Balance Sheet'!T9</f>
        <v>-3332.58829904109</v>
      </c>
      <c r="U10" s="8">
        <f>'Balance Sheet'!T9-'Balance Sheet'!U9</f>
        <v>-7481.19718110345</v>
      </c>
      <c r="V10" s="8">
        <f>'Balance Sheet'!U9-'Balance Sheet'!V9</f>
        <v>18018.5209435755</v>
      </c>
      <c r="W10" s="8">
        <f>'Balance Sheet'!V9-'Balance Sheet'!W9</f>
        <v>-7454.95315600945</v>
      </c>
      <c r="X10" s="8">
        <f>'Balance Sheet'!W9-'Balance Sheet'!X9</f>
        <v>-5979.06807660087</v>
      </c>
      <c r="Y10" s="8">
        <f>'Balance Sheet'!X9-'Balance Sheet'!Y9</f>
        <v>-1752.3264963808</v>
      </c>
      <c r="Z10" s="8">
        <f>'Balance Sheet'!Y9-'Balance Sheet'!Z9</f>
        <v>935.881798583476</v>
      </c>
      <c r="AA10" s="8">
        <f>'Balance Sheet'!Z9-'Balance Sheet'!AA9</f>
        <v>-807.824284433547</v>
      </c>
    </row>
    <row r="11">
      <c r="B11" t="inlineStr">
        <is>
          <t>Increase / (decrease) in creditors</t>
        </is>
      </c>
      <c r="D11" s="8">
        <f>'Balance Sheet'!D13-'Balance Sheet'!C13</f>
        <v>3920.72</v>
      </c>
      <c r="E11" s="8">
        <f>'Balance Sheet'!E13-'Balance Sheet'!D13</f>
        <v>273.196799999998</v>
      </c>
      <c r="F11" s="8">
        <f>'Balance Sheet'!F13-'Balance Sheet'!E13</f>
        <v>1715.5584</v>
      </c>
      <c r="G11" s="8">
        <f>'Balance Sheet'!G13-'Balance Sheet'!F13</f>
        <v>2140.69139712</v>
      </c>
      <c r="H11" s="8">
        <f>'Balance Sheet'!H13-'Balance Sheet'!G13</f>
        <v>1818.147147264</v>
      </c>
      <c r="I11" s="8">
        <f>'Balance Sheet'!I13-'Balance Sheet'!H13</f>
        <v>3862.0881535058</v>
      </c>
      <c r="J11" s="8">
        <f>'Balance Sheet'!J13-'Balance Sheet'!I13</f>
        <v>-8685.71311743812</v>
      </c>
      <c r="K11" s="8">
        <f>'Balance Sheet'!K13-'Balance Sheet'!J13</f>
        <v>3844.26755165931</v>
      </c>
      <c r="L11" s="8">
        <f>'Balance Sheet'!L13-'Balance Sheet'!K13</f>
        <v>3134.53665605029</v>
      </c>
      <c r="M11" s="8">
        <f>'Balance Sheet'!M13-'Balance Sheet'!L13</f>
        <v>1041.86665976323</v>
      </c>
      <c r="N11" s="8">
        <f>'Balance Sheet'!N13-'Balance Sheet'!M13</f>
        <v>-304.672908267996</v>
      </c>
      <c r="O11" s="8">
        <f>'Balance Sheet'!O13-'Balance Sheet'!N13</f>
        <v>562.399828376118</v>
      </c>
      <c r="P11" s="8">
        <f>'Balance Sheet'!P13-'Balance Sheet'!O13</f>
        <v>4326.71337485808</v>
      </c>
      <c r="Q11" s="8">
        <f>'Balance Sheet'!Q13-'Balance Sheet'!P13</f>
        <v>107.302954582832</v>
      </c>
      <c r="R11" s="8">
        <f>'Balance Sheet'!R13-'Balance Sheet'!Q13</f>
        <v>2105.06349654995</v>
      </c>
      <c r="S11" s="8">
        <f>'Balance Sheet'!S13-'Balance Sheet'!R13</f>
        <v>2677.2492392176</v>
      </c>
      <c r="T11" s="8">
        <f>'Balance Sheet'!T13-'Balance Sheet'!S13</f>
        <v>2221.72553269406</v>
      </c>
      <c r="U11" s="8">
        <f>'Balance Sheet'!U13-'Balance Sheet'!T13</f>
        <v>4987.46478740231</v>
      </c>
      <c r="V11" s="8">
        <f>'Balance Sheet'!V13-'Balance Sheet'!U13</f>
        <v>-12012.347295717</v>
      </c>
      <c r="W11" s="8">
        <f>'Balance Sheet'!W13-'Balance Sheet'!V13</f>
        <v>4969.96877067297</v>
      </c>
      <c r="X11" s="8">
        <f>'Balance Sheet'!X13-'Balance Sheet'!W13</f>
        <v>3986.04538440058</v>
      </c>
      <c r="Y11" s="8">
        <f>'Balance Sheet'!Y13-'Balance Sheet'!X13</f>
        <v>1168.21766425387</v>
      </c>
      <c r="Z11" s="8">
        <f>'Balance Sheet'!Z13-'Balance Sheet'!Y13</f>
        <v>-623.921199055651</v>
      </c>
      <c r="AA11" s="8">
        <f>'Balance Sheet'!AA13-'Balance Sheet'!Z13</f>
        <v>538.549522955691</v>
      </c>
    </row>
    <row r="12">
      <c r="B12" t="inlineStr">
        <is>
          <t>Increase / (decrease) in tax payable</t>
        </is>
      </c>
      <c r="D12" s="8">
        <f>'Balance Sheet'!D14-'Balance Sheet'!C14</f>
        <v>-2689.76</v>
      </c>
      <c r="E12" s="8">
        <f>'Balance Sheet'!E14-'Balance Sheet'!D14</f>
        <v>129.36148333333</v>
      </c>
      <c r="F12" s="8">
        <f>'Balance Sheet'!F14-'Balance Sheet'!E14</f>
        <v>746.862283333335</v>
      </c>
      <c r="G12" s="8">
        <f>'Balance Sheet'!G14-'Balance Sheet'!F14</f>
        <v>570.819539283815</v>
      </c>
      <c r="H12" s="8">
        <f>'Balance Sheet'!H14-'Balance Sheet'!G14</f>
        <v>790.997021605329</v>
      </c>
      <c r="I12" s="8">
        <f>'Balance Sheet'!I14-'Balance Sheet'!H14</f>
        <v>1667.86865492015</v>
      </c>
      <c r="J12" s="8">
        <f>'Balance Sheet'!J14-'Balance Sheet'!I14</f>
        <v>-3716.56401096241</v>
      </c>
      <c r="K12" s="8">
        <f>'Balance Sheet'!K14-'Balance Sheet'!J14</f>
        <v>1659.53876155351</v>
      </c>
      <c r="L12" s="8">
        <f>'Balance Sheet'!L14-'Balance Sheet'!K14</f>
        <v>1355.25045664704</v>
      </c>
      <c r="M12" s="8">
        <f>'Balance Sheet'!M14-'Balance Sheet'!L14</f>
        <v>456.618649270477</v>
      </c>
      <c r="N12" s="8">
        <f>'Balance Sheet'!N14-'Balance Sheet'!M14</f>
        <v>-122.154641212283</v>
      </c>
      <c r="O12" s="8">
        <f>'Balance Sheet'!O14-'Balance Sheet'!N14</f>
        <v>249.914504685791</v>
      </c>
      <c r="P12" s="8">
        <f>'Balance Sheet'!P14-'Balance Sheet'!O14</f>
        <v>1559.90383677067</v>
      </c>
      <c r="Q12" s="8">
        <f>'Balance Sheet'!Q14-'Balance Sheet'!P14</f>
        <v>53.8524919281163</v>
      </c>
      <c r="R12" s="8">
        <f>'Balance Sheet'!R14-'Balance Sheet'!Q14</f>
        <v>912.284094665297</v>
      </c>
      <c r="S12" s="8">
        <f>'Balance Sheet'!S14-'Balance Sheet'!R14</f>
        <v>1158.09469238137</v>
      </c>
      <c r="T12" s="8">
        <f>'Balance Sheet'!T14-'Balance Sheet'!S14</f>
        <v>962.027935397932</v>
      </c>
      <c r="U12" s="8">
        <f>'Balance Sheet'!U14-'Balance Sheet'!T14</f>
        <v>2151.13172601217</v>
      </c>
      <c r="V12" s="8">
        <f>'Balance Sheet'!V14-'Balance Sheet'!U14</f>
        <v>-5160.01513467403</v>
      </c>
      <c r="W12" s="8">
        <f>'Balance Sheet'!W14-'Balance Sheet'!V14</f>
        <v>2142.886772375</v>
      </c>
      <c r="X12" s="8">
        <f>'Balance Sheet'!X14-'Balance Sheet'!W14</f>
        <v>1719.49975696003</v>
      </c>
      <c r="Y12" s="8">
        <f>'Balance Sheet'!Y14-'Balance Sheet'!X14</f>
        <v>507.243478961675</v>
      </c>
      <c r="Z12" s="8">
        <f>'Balance Sheet'!Z14-'Balance Sheet'!Y14</f>
        <v>-263.92288106335</v>
      </c>
      <c r="AA12" s="8">
        <f>'Balance Sheet'!AA14-'Balance Sheet'!Z14</f>
        <v>235.702795367537</v>
      </c>
    </row>
    <row r="13">
      <c r="B13" s="3" t="inlineStr">
        <is>
          <t>Operating cash flow</t>
        </is>
      </c>
      <c r="D13" s="26">
        <f>SUM(D7:D12)</f>
        <v>-6360.2</v>
      </c>
      <c r="E13" s="26">
        <f>SUM(E7:E12)</f>
        <v>2945.48753333332</v>
      </c>
      <c r="F13" s="26">
        <f>SUM(F7:F12)</f>
        <v>2784.15438333333</v>
      </c>
      <c r="G13" s="26">
        <f>SUM(G7:G12)</f>
        <v>4430.43652048002</v>
      </c>
      <c r="H13" s="26">
        <f>SUM(H7:H12)</f>
        <v>7701.98119254551</v>
      </c>
      <c r="I13" s="26">
        <f>SUM(I7:I12)</f>
        <v>9228.04028749989</v>
      </c>
      <c r="J13" s="26">
        <f>SUM(J7:J12)</f>
        <v>19479.6082242021</v>
      </c>
      <c r="K13" s="26">
        <f>SUM(K7:K12)</f>
        <v>3115.00094682982</v>
      </c>
      <c r="L13" s="26">
        <f>SUM(L7:L12)</f>
        <v>8380.44945966898</v>
      </c>
      <c r="M13" s="26">
        <f>SUM(M7:M12)</f>
        <v>13345.3685982474</v>
      </c>
      <c r="N13" s="26">
        <f>SUM(N7:N12)</f>
        <v>15314.1851681434</v>
      </c>
      <c r="O13" s="26">
        <f>SUM(O7:O12)</f>
        <v>14585.2134597768</v>
      </c>
      <c r="P13" s="26">
        <f>SUM(P7:P12)</f>
        <v>12449.2055289327</v>
      </c>
      <c r="Q13" s="26">
        <f>SUM(Q7:Q12)</f>
        <v>20234.0079100121</v>
      </c>
      <c r="R13" s="26">
        <f>SUM(R7:R12)</f>
        <v>19516.3494457616</v>
      </c>
      <c r="S13" s="26">
        <f>SUM(S7:S12)</f>
        <v>22003.476369288</v>
      </c>
      <c r="T13" s="26">
        <f>SUM(T7:T12)</f>
        <v>25690.5911117601</v>
      </c>
      <c r="U13" s="26">
        <f>SUM(U7:U12)</f>
        <v>27334.2054130567</v>
      </c>
      <c r="V13" s="26">
        <f>SUM(V7:V12)</f>
        <v>41508.3452699081</v>
      </c>
      <c r="W13" s="26">
        <f>SUM(W7:W12)</f>
        <v>18342.5030608871</v>
      </c>
      <c r="X13" s="26">
        <f>SUM(X7:X12)</f>
        <v>25226.6080494884</v>
      </c>
      <c r="Y13" s="26">
        <f>SUM(Y7:Y12)</f>
        <v>31679.3704684485</v>
      </c>
      <c r="Z13" s="26">
        <f>SUM(Z7:Z12)</f>
        <v>34030.6685768882</v>
      </c>
      <c r="AA13" s="26">
        <f>SUM(AA7:AA12)</f>
        <v>32722.964398416</v>
      </c>
    </row>
    <row r="15">
      <c r="B15" t="inlineStr">
        <is>
          <t>Capital purchases</t>
        </is>
      </c>
      <c r="D15" s="8">
        <f>-(Assumptions!$G$25+IF(D6=Assumptions!$G$24,Assumptions!$G$23,0))</f>
        <v>-1000</v>
      </c>
      <c r="E15" s="8">
        <f>-(Assumptions!$G$25+IF(E6=Assumptions!$G$24,Assumptions!$G$23,0))</f>
        <v>-1000</v>
      </c>
      <c r="F15" s="8">
        <f>-(Assumptions!$G$25+IF(F6=Assumptions!$G$24,Assumptions!$G$23,0))</f>
        <v>-86000</v>
      </c>
      <c r="G15" s="8">
        <f>-(Assumptions!$G$25+IF(G6=Assumptions!$G$24,Assumptions!$G$23,0))</f>
        <v>-1000</v>
      </c>
      <c r="H15" s="8">
        <f>-(Assumptions!$G$25+IF(H6=Assumptions!$G$24,Assumptions!$G$23,0))</f>
        <v>-1000</v>
      </c>
      <c r="I15" s="8">
        <f>-(Assumptions!$G$25+IF(I6=Assumptions!$G$24,Assumptions!$G$23,0))</f>
        <v>-1000</v>
      </c>
      <c r="J15" s="8">
        <f>-(Assumptions!$G$25+IF(J6=Assumptions!$G$24,Assumptions!$G$23,0))</f>
        <v>-1000</v>
      </c>
      <c r="K15" s="8">
        <f>-(Assumptions!$G$25+IF(K6=Assumptions!$G$24,Assumptions!$G$23,0))</f>
        <v>-1000</v>
      </c>
      <c r="L15" s="8">
        <f>-(Assumptions!$G$25+IF(L6=Assumptions!$G$24,Assumptions!$G$23,0))</f>
        <v>-1000</v>
      </c>
      <c r="M15" s="8">
        <f>-(Assumptions!$G$25+IF(M6=Assumptions!$G$24,Assumptions!$G$23,0))</f>
        <v>-1000</v>
      </c>
      <c r="N15" s="8">
        <f>-(Assumptions!$G$25+IF(N6=Assumptions!$G$24,Assumptions!$G$23,0))</f>
        <v>-1000</v>
      </c>
      <c r="O15" s="8">
        <f>-(Assumptions!$G$25+IF(O6=Assumptions!$G$24,Assumptions!$G$23,0))</f>
        <v>-1000</v>
      </c>
      <c r="P15" s="8">
        <f>-(Assumptions!$G$25+IF(P6=Assumptions!$G$24,Assumptions!$G$23,0))</f>
        <v>-1000</v>
      </c>
      <c r="Q15" s="8">
        <f>-(Assumptions!$G$25+IF(Q6=Assumptions!$G$24,Assumptions!$G$23,0))</f>
        <v>-1000</v>
      </c>
      <c r="R15" s="8">
        <f>-(Assumptions!$G$25+IF(R6=Assumptions!$G$24,Assumptions!$G$23,0))</f>
        <v>-1000</v>
      </c>
      <c r="S15" s="8">
        <f>-(Assumptions!$G$25+IF(S6=Assumptions!$G$24,Assumptions!$G$23,0))</f>
        <v>-1000</v>
      </c>
      <c r="T15" s="8">
        <f>-(Assumptions!$G$25+IF(T6=Assumptions!$G$24,Assumptions!$G$23,0))</f>
        <v>-1000</v>
      </c>
      <c r="U15" s="8">
        <f>-(Assumptions!$G$25+IF(U6=Assumptions!$G$24,Assumptions!$G$23,0))</f>
        <v>-1000</v>
      </c>
      <c r="V15" s="8">
        <f>-(Assumptions!$G$25+IF(V6=Assumptions!$G$24,Assumptions!$G$23,0))</f>
        <v>-1000</v>
      </c>
      <c r="W15" s="8">
        <f>-(Assumptions!$G$25+IF(W6=Assumptions!$G$24,Assumptions!$G$23,0))</f>
        <v>-1000</v>
      </c>
      <c r="X15" s="8">
        <f>-(Assumptions!$G$25+IF(X6=Assumptions!$G$24,Assumptions!$G$23,0))</f>
        <v>-1000</v>
      </c>
      <c r="Y15" s="8">
        <f>-(Assumptions!$G$25+IF(Y6=Assumptions!$G$24,Assumptions!$G$23,0))</f>
        <v>-1000</v>
      </c>
      <c r="Z15" s="8">
        <f>-(Assumptions!$G$25+IF(Z6=Assumptions!$G$24,Assumptions!$G$23,0))</f>
        <v>-1000</v>
      </c>
      <c r="AA15" s="8">
        <f>-(Assumptions!$G$25+IF(AA6=Assumptions!$G$24,Assumptions!$G$23,0))</f>
        <v>-1000</v>
      </c>
    </row>
    <row r="16">
      <c r="B16" s="3" t="inlineStr">
        <is>
          <t>Investing cash flow</t>
        </is>
      </c>
      <c r="D16" s="26">
        <f>D15</f>
        <v>-1000</v>
      </c>
      <c r="E16" s="26">
        <f>E15</f>
        <v>-1000</v>
      </c>
      <c r="F16" s="26">
        <f>F15</f>
        <v>-86000</v>
      </c>
      <c r="G16" s="26">
        <f>G15</f>
        <v>-1000</v>
      </c>
      <c r="H16" s="26">
        <f>H15</f>
        <v>-1000</v>
      </c>
      <c r="I16" s="26">
        <f>I15</f>
        <v>-1000</v>
      </c>
      <c r="J16" s="26">
        <f>J15</f>
        <v>-1000</v>
      </c>
      <c r="K16" s="26">
        <f>K15</f>
        <v>-1000</v>
      </c>
      <c r="L16" s="26">
        <f>L15</f>
        <v>-1000</v>
      </c>
      <c r="M16" s="26">
        <f>M15</f>
        <v>-1000</v>
      </c>
      <c r="N16" s="26">
        <f>N15</f>
        <v>-1000</v>
      </c>
      <c r="O16" s="26">
        <f>O15</f>
        <v>-1000</v>
      </c>
      <c r="P16" s="26">
        <f>P15</f>
        <v>-1000</v>
      </c>
      <c r="Q16" s="26">
        <f>Q15</f>
        <v>-1000</v>
      </c>
      <c r="R16" s="26">
        <f>R15</f>
        <v>-1000</v>
      </c>
      <c r="S16" s="26">
        <f>S15</f>
        <v>-1000</v>
      </c>
      <c r="T16" s="26">
        <f>T15</f>
        <v>-1000</v>
      </c>
      <c r="U16" s="26">
        <f>U15</f>
        <v>-1000</v>
      </c>
      <c r="V16" s="26">
        <f>V15</f>
        <v>-1000</v>
      </c>
      <c r="W16" s="26">
        <f>W15</f>
        <v>-1000</v>
      </c>
      <c r="X16" s="26">
        <f>X15</f>
        <v>-1000</v>
      </c>
      <c r="Y16" s="26">
        <f>Y15</f>
        <v>-1000</v>
      </c>
      <c r="Z16" s="26">
        <f>Z15</f>
        <v>-1000</v>
      </c>
      <c r="AA16" s="26">
        <f>AA15</f>
        <v>-1000</v>
      </c>
    </row>
    <row r="18">
      <c r="B18" t="inlineStr">
        <is>
          <t>Equipment finance drawdown</t>
        </is>
      </c>
      <c r="D18" s="8">
        <f>IF(D6=Assumptions!$G$24,Assumptions!$G$23*Assumptions!$G$26,0)</f>
        <v>0</v>
      </c>
      <c r="E18" s="8">
        <f>IF(E6=Assumptions!$G$24,Assumptions!$G$23*Assumptions!$G$26,0)</f>
        <v>0</v>
      </c>
      <c r="F18" s="8">
        <f>IF(F6=Assumptions!$G$24,Assumptions!$G$23*Assumptions!$G$26,0)</f>
        <v>59500</v>
      </c>
      <c r="G18" s="8">
        <f>IF(G6=Assumptions!$G$24,Assumptions!$G$23*Assumptions!$G$26,0)</f>
        <v>0</v>
      </c>
      <c r="H18" s="8">
        <f>IF(H6=Assumptions!$G$24,Assumptions!$G$23*Assumptions!$G$26,0)</f>
        <v>0</v>
      </c>
      <c r="I18" s="8">
        <f>IF(I6=Assumptions!$G$24,Assumptions!$G$23*Assumptions!$G$26,0)</f>
        <v>0</v>
      </c>
      <c r="J18" s="8">
        <f>IF(J6=Assumptions!$G$24,Assumptions!$G$23*Assumptions!$G$26,0)</f>
        <v>0</v>
      </c>
      <c r="K18" s="8">
        <f>IF(K6=Assumptions!$G$24,Assumptions!$G$23*Assumptions!$G$26,0)</f>
        <v>0</v>
      </c>
      <c r="L18" s="8">
        <f>IF(L6=Assumptions!$G$24,Assumptions!$G$23*Assumptions!$G$26,0)</f>
        <v>0</v>
      </c>
      <c r="M18" s="8">
        <f>IF(M6=Assumptions!$G$24,Assumptions!$G$23*Assumptions!$G$26,0)</f>
        <v>0</v>
      </c>
      <c r="N18" s="8">
        <f>IF(N6=Assumptions!$G$24,Assumptions!$G$23*Assumptions!$G$26,0)</f>
        <v>0</v>
      </c>
      <c r="O18" s="8">
        <f>IF(O6=Assumptions!$G$24,Assumptions!$G$23*Assumptions!$G$26,0)</f>
        <v>0</v>
      </c>
      <c r="P18" s="8">
        <f>IF(P6=Assumptions!$G$24,Assumptions!$G$23*Assumptions!$G$26,0)</f>
        <v>0</v>
      </c>
      <c r="Q18" s="8">
        <f>IF(Q6=Assumptions!$G$24,Assumptions!$G$23*Assumptions!$G$26,0)</f>
        <v>0</v>
      </c>
      <c r="R18" s="8">
        <f>IF(R6=Assumptions!$G$24,Assumptions!$G$23*Assumptions!$G$26,0)</f>
        <v>0</v>
      </c>
      <c r="S18" s="8">
        <f>IF(S6=Assumptions!$G$24,Assumptions!$G$23*Assumptions!$G$26,0)</f>
        <v>0</v>
      </c>
      <c r="T18" s="8">
        <f>IF(T6=Assumptions!$G$24,Assumptions!$G$23*Assumptions!$G$26,0)</f>
        <v>0</v>
      </c>
      <c r="U18" s="8">
        <f>IF(U6=Assumptions!$G$24,Assumptions!$G$23*Assumptions!$G$26,0)</f>
        <v>0</v>
      </c>
      <c r="V18" s="8">
        <f>IF(V6=Assumptions!$G$24,Assumptions!$G$23*Assumptions!$G$26,0)</f>
        <v>0</v>
      </c>
      <c r="W18" s="8">
        <f>IF(W6=Assumptions!$G$24,Assumptions!$G$23*Assumptions!$G$26,0)</f>
        <v>0</v>
      </c>
      <c r="X18" s="8">
        <f>IF(X6=Assumptions!$G$24,Assumptions!$G$23*Assumptions!$G$26,0)</f>
        <v>0</v>
      </c>
      <c r="Y18" s="8">
        <f>IF(Y6=Assumptions!$G$24,Assumptions!$G$23*Assumptions!$G$26,0)</f>
        <v>0</v>
      </c>
      <c r="Z18" s="8">
        <f>IF(Z6=Assumptions!$G$24,Assumptions!$G$23*Assumptions!$G$26,0)</f>
        <v>0</v>
      </c>
      <c r="AA18" s="8">
        <f>IF(AA6=Assumptions!$G$24,Assumptions!$G$23*Assumptions!$G$26,0)</f>
        <v>0</v>
      </c>
    </row>
    <row r="19">
      <c r="B19" t="inlineStr">
        <is>
          <t>Loan principal repaid</t>
        </is>
      </c>
      <c r="D19" s="8">
        <f>-MIN('Balance Sheet'!C15+D18,Assumptions!$G$33)</f>
        <v>-2500</v>
      </c>
      <c r="E19" s="8">
        <f>-MIN('Balance Sheet'!D15+E18,Assumptions!$G$33)</f>
        <v>-2500</v>
      </c>
      <c r="F19" s="8">
        <f>-MIN('Balance Sheet'!E15+F18,Assumptions!$G$33)</f>
        <v>-2500</v>
      </c>
      <c r="G19" s="8">
        <f>-MIN('Balance Sheet'!F15+G18,Assumptions!$G$33)</f>
        <v>-2500</v>
      </c>
      <c r="H19" s="8">
        <f>-MIN('Balance Sheet'!G15+H18,Assumptions!$G$33)</f>
        <v>-2500</v>
      </c>
      <c r="I19" s="8">
        <f>-MIN('Balance Sheet'!H15+I18,Assumptions!$G$33)</f>
        <v>-2500</v>
      </c>
      <c r="J19" s="8">
        <f>-MIN('Balance Sheet'!I15+J18,Assumptions!$G$33)</f>
        <v>-2500</v>
      </c>
      <c r="K19" s="8">
        <f>-MIN('Balance Sheet'!J15+K18,Assumptions!$G$33)</f>
        <v>-2500</v>
      </c>
      <c r="L19" s="8">
        <f>-MIN('Balance Sheet'!K15+L18,Assumptions!$G$33)</f>
        <v>-2500</v>
      </c>
      <c r="M19" s="8">
        <f>-MIN('Balance Sheet'!L15+M18,Assumptions!$G$33)</f>
        <v>-2500</v>
      </c>
      <c r="N19" s="8">
        <f>-MIN('Balance Sheet'!M15+N18,Assumptions!$G$33)</f>
        <v>-2500</v>
      </c>
      <c r="O19" s="8">
        <f>-MIN('Balance Sheet'!N15+O18,Assumptions!$G$33)</f>
        <v>-2500</v>
      </c>
      <c r="P19" s="8">
        <f>-MIN('Balance Sheet'!O15+P18,Assumptions!$G$33)</f>
        <v>-2500</v>
      </c>
      <c r="Q19" s="8">
        <f>-MIN('Balance Sheet'!P15+Q18,Assumptions!$G$33)</f>
        <v>-2500</v>
      </c>
      <c r="R19" s="8">
        <f>-MIN('Balance Sheet'!Q15+R18,Assumptions!$G$33)</f>
        <v>-2500</v>
      </c>
      <c r="S19" s="8">
        <f>-MIN('Balance Sheet'!R15+S18,Assumptions!$G$33)</f>
        <v>-2500</v>
      </c>
      <c r="T19" s="8">
        <f>-MIN('Balance Sheet'!S15+T18,Assumptions!$G$33)</f>
        <v>-2500</v>
      </c>
      <c r="U19" s="8">
        <f>-MIN('Balance Sheet'!T15+U18,Assumptions!$G$33)</f>
        <v>-2500</v>
      </c>
      <c r="V19" s="8">
        <f>-MIN('Balance Sheet'!U15+V18,Assumptions!$G$33)</f>
        <v>-2500</v>
      </c>
      <c r="W19" s="8">
        <f>-MIN('Balance Sheet'!V15+W18,Assumptions!$G$33)</f>
        <v>-2500</v>
      </c>
      <c r="X19" s="8">
        <f>-MIN('Balance Sheet'!W15+X18,Assumptions!$G$33)</f>
        <v>-2500</v>
      </c>
      <c r="Y19" s="8">
        <f>-MIN('Balance Sheet'!X15+Y18,Assumptions!$G$33)</f>
        <v>-2500</v>
      </c>
      <c r="Z19" s="8">
        <f>-MIN('Balance Sheet'!Y15+Z18,Assumptions!$G$33)</f>
        <v>-2500</v>
      </c>
      <c r="AA19" s="8">
        <f>-MIN('Balance Sheet'!Z15+AA18,Assumptions!$G$33)</f>
        <v>-2500</v>
      </c>
    </row>
    <row r="20">
      <c r="B20" t="inlineStr">
        <is>
          <t>Dividends paid</t>
        </is>
      </c>
      <c r="D20" s="8">
        <f>IF(MOD(D6,3)=0,-Assumptions!$G$35,0)</f>
        <v>0</v>
      </c>
      <c r="E20" s="8">
        <f>IF(MOD(E6,3)=0,-Assumptions!$G$35,0)</f>
        <v>0</v>
      </c>
      <c r="F20" s="8">
        <f>IF(MOD(F6,3)=0,-Assumptions!$G$35,0)</f>
        <v>-9000</v>
      </c>
      <c r="G20" s="8">
        <f>IF(MOD(G6,3)=0,-Assumptions!$G$35,0)</f>
        <v>0</v>
      </c>
      <c r="H20" s="8">
        <f>IF(MOD(H6,3)=0,-Assumptions!$G$35,0)</f>
        <v>0</v>
      </c>
      <c r="I20" s="8">
        <f>IF(MOD(I6,3)=0,-Assumptions!$G$35,0)</f>
        <v>-9000</v>
      </c>
      <c r="J20" s="8">
        <f>IF(MOD(J6,3)=0,-Assumptions!$G$35,0)</f>
        <v>0</v>
      </c>
      <c r="K20" s="8">
        <f>IF(MOD(K6,3)=0,-Assumptions!$G$35,0)</f>
        <v>0</v>
      </c>
      <c r="L20" s="8">
        <f>IF(MOD(L6,3)=0,-Assumptions!$G$35,0)</f>
        <v>-9000</v>
      </c>
      <c r="M20" s="8">
        <f>IF(MOD(M6,3)=0,-Assumptions!$G$35,0)</f>
        <v>0</v>
      </c>
      <c r="N20" s="8">
        <f>IF(MOD(N6,3)=0,-Assumptions!$G$35,0)</f>
        <v>0</v>
      </c>
      <c r="O20" s="8">
        <f>IF(MOD(O6,3)=0,-Assumptions!$G$35,0)</f>
        <v>-9000</v>
      </c>
      <c r="P20" s="8">
        <f>IF(MOD(P6,3)=0,-Assumptions!$G$35,0)</f>
        <v>0</v>
      </c>
      <c r="Q20" s="8">
        <f>IF(MOD(Q6,3)=0,-Assumptions!$G$35,0)</f>
        <v>0</v>
      </c>
      <c r="R20" s="8">
        <f>IF(MOD(R6,3)=0,-Assumptions!$G$35,0)</f>
        <v>-9000</v>
      </c>
      <c r="S20" s="8">
        <f>IF(MOD(S6,3)=0,-Assumptions!$G$35,0)</f>
        <v>0</v>
      </c>
      <c r="T20" s="8">
        <f>IF(MOD(T6,3)=0,-Assumptions!$G$35,0)</f>
        <v>0</v>
      </c>
      <c r="U20" s="8">
        <f>IF(MOD(U6,3)=0,-Assumptions!$G$35,0)</f>
        <v>-9000</v>
      </c>
      <c r="V20" s="8">
        <f>IF(MOD(V6,3)=0,-Assumptions!$G$35,0)</f>
        <v>0</v>
      </c>
      <c r="W20" s="8">
        <f>IF(MOD(W6,3)=0,-Assumptions!$G$35,0)</f>
        <v>0</v>
      </c>
      <c r="X20" s="8">
        <f>IF(MOD(X6,3)=0,-Assumptions!$G$35,0)</f>
        <v>-9000</v>
      </c>
      <c r="Y20" s="8">
        <f>IF(MOD(Y6,3)=0,-Assumptions!$G$35,0)</f>
        <v>0</v>
      </c>
      <c r="Z20" s="8">
        <f>IF(MOD(Z6,3)=0,-Assumptions!$G$35,0)</f>
        <v>0</v>
      </c>
      <c r="AA20" s="8">
        <f>IF(MOD(AA6,3)=0,-Assumptions!$G$35,0)</f>
        <v>-9000</v>
      </c>
    </row>
    <row r="21">
      <c r="B21" s="3" t="inlineStr">
        <is>
          <t>Financing cash flow</t>
        </is>
      </c>
      <c r="D21" s="26">
        <f>SUM(D18:D20)</f>
        <v>-2500</v>
      </c>
      <c r="E21" s="26">
        <f>SUM(E18:E20)</f>
        <v>-2500</v>
      </c>
      <c r="F21" s="26">
        <f>SUM(F18:F20)</f>
        <v>48000</v>
      </c>
      <c r="G21" s="26">
        <f>SUM(G18:G20)</f>
        <v>-2500</v>
      </c>
      <c r="H21" s="26">
        <f>SUM(H18:H20)</f>
        <v>-2500</v>
      </c>
      <c r="I21" s="26">
        <f>SUM(I18:I20)</f>
        <v>-11500</v>
      </c>
      <c r="J21" s="26">
        <f>SUM(J18:J20)</f>
        <v>-2500</v>
      </c>
      <c r="K21" s="26">
        <f>SUM(K18:K20)</f>
        <v>-2500</v>
      </c>
      <c r="L21" s="26">
        <f>SUM(L18:L20)</f>
        <v>-11500</v>
      </c>
      <c r="M21" s="26">
        <f>SUM(M18:M20)</f>
        <v>-2500</v>
      </c>
      <c r="N21" s="26">
        <f>SUM(N18:N20)</f>
        <v>-2500</v>
      </c>
      <c r="O21" s="26">
        <f>SUM(O18:O20)</f>
        <v>-11500</v>
      </c>
      <c r="P21" s="26">
        <f>SUM(P18:P20)</f>
        <v>-2500</v>
      </c>
      <c r="Q21" s="26">
        <f>SUM(Q18:Q20)</f>
        <v>-2500</v>
      </c>
      <c r="R21" s="26">
        <f>SUM(R18:R20)</f>
        <v>-11500</v>
      </c>
      <c r="S21" s="26">
        <f>SUM(S18:S20)</f>
        <v>-2500</v>
      </c>
      <c r="T21" s="26">
        <f>SUM(T18:T20)</f>
        <v>-2500</v>
      </c>
      <c r="U21" s="26">
        <f>SUM(U18:U20)</f>
        <v>-11500</v>
      </c>
      <c r="V21" s="26">
        <f>SUM(V18:V20)</f>
        <v>-2500</v>
      </c>
      <c r="W21" s="26">
        <f>SUM(W18:W20)</f>
        <v>-2500</v>
      </c>
      <c r="X21" s="26">
        <f>SUM(X18:X20)</f>
        <v>-11500</v>
      </c>
      <c r="Y21" s="26">
        <f>SUM(Y18:Y20)</f>
        <v>-2500</v>
      </c>
      <c r="Z21" s="26">
        <f>SUM(Z18:Z20)</f>
        <v>-2500</v>
      </c>
      <c r="AA21" s="26">
        <f>SUM(AA18:AA20)</f>
        <v>-11500</v>
      </c>
    </row>
    <row r="23">
      <c r="B23" s="3" t="inlineStr">
        <is>
          <t>Net change in cash</t>
        </is>
      </c>
      <c r="D23" s="25">
        <f>D13+D16+D21</f>
        <v>-9860.2</v>
      </c>
      <c r="E23" s="25">
        <f>E13+E16+E21</f>
        <v>-554.512466666678</v>
      </c>
      <c r="F23" s="25">
        <f>F13+F16+F21</f>
        <v>-35215.8456166667</v>
      </c>
      <c r="G23" s="25">
        <f>G13+G16+G21</f>
        <v>930.436520480018</v>
      </c>
      <c r="H23" s="25">
        <f>H13+H16+H21</f>
        <v>4201.98119254551</v>
      </c>
      <c r="I23" s="25">
        <f>I13+I16+I21</f>
        <v>-3271.95971250011</v>
      </c>
      <c r="J23" s="25">
        <f>J13+J16+J21</f>
        <v>15979.6082242021</v>
      </c>
      <c r="K23" s="25">
        <f>K13+K16+K21</f>
        <v>-384.999053170182</v>
      </c>
      <c r="L23" s="25">
        <f>L13+L16+L21</f>
        <v>-4119.55054033102</v>
      </c>
      <c r="M23" s="25">
        <f>M13+M16+M21</f>
        <v>9845.36859824737</v>
      </c>
      <c r="N23" s="25">
        <f>N13+N16+N21</f>
        <v>11814.1851681434</v>
      </c>
      <c r="O23" s="25">
        <f>O13+O16+O21</f>
        <v>2085.21345977679</v>
      </c>
      <c r="P23" s="25">
        <f>P13+P16+P21</f>
        <v>8949.20552893267</v>
      </c>
      <c r="Q23" s="25">
        <f>Q13+Q16+Q21</f>
        <v>16734.0079100121</v>
      </c>
      <c r="R23" s="25">
        <f>R13+R16+R21</f>
        <v>7016.34944576163</v>
      </c>
      <c r="S23" s="25">
        <f>S13+S16+S21</f>
        <v>18503.476369288</v>
      </c>
      <c r="T23" s="25">
        <f>T13+T16+T21</f>
        <v>22190.5911117601</v>
      </c>
      <c r="U23" s="25">
        <f>U13+U16+U21</f>
        <v>14834.2054130567</v>
      </c>
      <c r="V23" s="25">
        <f>V13+V16+V21</f>
        <v>38008.3452699081</v>
      </c>
      <c r="W23" s="25">
        <f>W13+W16+W21</f>
        <v>14842.5030608871</v>
      </c>
      <c r="X23" s="25">
        <f>X13+X16+X21</f>
        <v>12726.6080494884</v>
      </c>
      <c r="Y23" s="25">
        <f>Y13+Y16+Y21</f>
        <v>28179.3704684485</v>
      </c>
      <c r="Z23" s="25">
        <f>Z13+Z16+Z21</f>
        <v>30530.6685768882</v>
      </c>
      <c r="AA23" s="25">
        <f>AA13+AA16+AA21</f>
        <v>20222.964398416</v>
      </c>
    </row>
    <row r="24">
      <c r="B24" t="inlineStr">
        <is>
          <t>Opening cash</t>
        </is>
      </c>
      <c r="D24" s="8">
        <f>Assumptions!$D$45</f>
        <v>64000</v>
      </c>
      <c r="E24" s="8">
        <f>D25</f>
        <v>54139.8</v>
      </c>
      <c r="F24" s="8">
        <f>E25</f>
        <v>53585.2875333333</v>
      </c>
      <c r="G24" s="8">
        <f>F25</f>
        <v>18369.4419166666</v>
      </c>
      <c r="H24" s="8">
        <f>G25</f>
        <v>19299.8784371467</v>
      </c>
      <c r="I24" s="8">
        <f>H25</f>
        <v>23501.8596296922</v>
      </c>
      <c r="J24" s="8">
        <f>I25</f>
        <v>20229.899917192</v>
      </c>
      <c r="K24" s="8">
        <f>J25</f>
        <v>36209.5081413942</v>
      </c>
      <c r="L24" s="8">
        <f>K25</f>
        <v>35824.509088224</v>
      </c>
      <c r="M24" s="8">
        <f>L25</f>
        <v>31704.958547893</v>
      </c>
      <c r="N24" s="8">
        <f>M25</f>
        <v>41550.3271461403</v>
      </c>
      <c r="O24" s="8">
        <f>N25</f>
        <v>53364.5123142837</v>
      </c>
      <c r="P24" s="8">
        <f>O25</f>
        <v>55449.7257740605</v>
      </c>
      <c r="Q24" s="8">
        <f>P25</f>
        <v>64398.9313029932</v>
      </c>
      <c r="R24" s="8">
        <f>Q25</f>
        <v>81132.9392130053</v>
      </c>
      <c r="S24" s="8">
        <f>R25</f>
        <v>88149.2886587669</v>
      </c>
      <c r="T24" s="8">
        <f>S25</f>
        <v>106652.765028055</v>
      </c>
      <c r="U24" s="8">
        <f>T25</f>
        <v>128843.356139815</v>
      </c>
      <c r="V24" s="8">
        <f>U25</f>
        <v>143677.561552872</v>
      </c>
      <c r="W24" s="8">
        <f>V25</f>
        <v>181685.90682278</v>
      </c>
      <c r="X24" s="8">
        <f>W25</f>
        <v>196528.409883667</v>
      </c>
      <c r="Y24" s="8">
        <f>X25</f>
        <v>209255.017933155</v>
      </c>
      <c r="Z24" s="8">
        <f>Y25</f>
        <v>237434.388401604</v>
      </c>
      <c r="AA24" s="8">
        <f>Z25</f>
        <v>267965.056978492</v>
      </c>
    </row>
    <row r="25">
      <c r="B25" s="3" t="inlineStr">
        <is>
          <t>Closing cash</t>
        </is>
      </c>
      <c r="D25" s="28">
        <f>D24+D23</f>
        <v>54139.8</v>
      </c>
      <c r="E25" s="28">
        <f>E24+E23</f>
        <v>53585.2875333333</v>
      </c>
      <c r="F25" s="28">
        <f>F24+F23</f>
        <v>18369.4419166666</v>
      </c>
      <c r="G25" s="28">
        <f>G24+G23</f>
        <v>19299.8784371467</v>
      </c>
      <c r="H25" s="28">
        <f>H24+H23</f>
        <v>23501.8596296922</v>
      </c>
      <c r="I25" s="28">
        <f>I24+I23</f>
        <v>20229.899917192</v>
      </c>
      <c r="J25" s="28">
        <f>J24+J23</f>
        <v>36209.5081413942</v>
      </c>
      <c r="K25" s="28">
        <f>K24+K23</f>
        <v>35824.509088224</v>
      </c>
      <c r="L25" s="28">
        <f>L24+L23</f>
        <v>31704.958547893</v>
      </c>
      <c r="M25" s="28">
        <f>M24+M23</f>
        <v>41550.3271461403</v>
      </c>
      <c r="N25" s="28">
        <f>N24+N23</f>
        <v>53364.5123142837</v>
      </c>
      <c r="O25" s="28">
        <f>O24+O23</f>
        <v>55449.7257740605</v>
      </c>
      <c r="P25" s="28">
        <f>P24+P23</f>
        <v>64398.9313029932</v>
      </c>
      <c r="Q25" s="28">
        <f>Q24+Q23</f>
        <v>81132.9392130053</v>
      </c>
      <c r="R25" s="28">
        <f>R24+R23</f>
        <v>88149.2886587669</v>
      </c>
      <c r="S25" s="28">
        <f>S24+S23</f>
        <v>106652.765028055</v>
      </c>
      <c r="T25" s="28">
        <f>T24+T23</f>
        <v>128843.356139815</v>
      </c>
      <c r="U25" s="28">
        <f>U24+U23</f>
        <v>143677.561552872</v>
      </c>
      <c r="V25" s="28">
        <f>V24+V23</f>
        <v>181685.90682278</v>
      </c>
      <c r="W25" s="28">
        <f>W24+W23</f>
        <v>196528.409883667</v>
      </c>
      <c r="X25" s="28">
        <f>X24+X23</f>
        <v>209255.017933155</v>
      </c>
      <c r="Y25" s="28">
        <f>Y24+Y23</f>
        <v>237434.388401604</v>
      </c>
      <c r="Z25" s="28">
        <f>Z24+Z23</f>
        <v>267965.056978492</v>
      </c>
      <c r="AA25" s="28">
        <f>AA24+AA23</f>
        <v>288188.021376908</v>
      </c>
    </row>
  </sheetData>
  <conditionalFormatting sqref="D25:AA25">
    <cfRule type="cellIs" priority="1" operator="lessThan" dxfId="2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1A7F86"/>
    <outlinePr summaryBelow="1" summaryRight="1"/>
    <pageSetUpPr/>
  </sheetPr>
  <dimension ref="B2:Q37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2" max="2"/>
    <col width="8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2">
      <c r="B2" s="1" t="inlineStr">
        <is>
          <t>13-week cash-flow forecast</t>
        </is>
      </c>
    </row>
    <row r="3">
      <c r="B3" s="2" t="inlineStr">
        <is>
          <t>Direct method, weeks commencing Monday, AUD  ·  Sample project, placeholder data.</t>
        </is>
      </c>
    </row>
    <row r="5">
      <c r="B5" s="7" t="inlineStr">
        <is>
          <t>Week</t>
        </is>
      </c>
      <c r="C5" s="7" t="n"/>
      <c r="D5" s="7" t="n">
        <v>1</v>
      </c>
      <c r="E5" s="7" t="n">
        <v>2</v>
      </c>
      <c r="F5" s="7" t="n">
        <v>3</v>
      </c>
      <c r="G5" s="7" t="n">
        <v>4</v>
      </c>
      <c r="H5" s="7" t="n">
        <v>5</v>
      </c>
      <c r="I5" s="7" t="n">
        <v>6</v>
      </c>
      <c r="J5" s="7" t="n">
        <v>7</v>
      </c>
      <c r="K5" s="7" t="n">
        <v>8</v>
      </c>
      <c r="L5" s="7" t="n">
        <v>9</v>
      </c>
      <c r="M5" s="7" t="n">
        <v>10</v>
      </c>
      <c r="N5" s="7" t="n">
        <v>11</v>
      </c>
      <c r="O5" s="7" t="n">
        <v>12</v>
      </c>
      <c r="P5" s="7" t="n">
        <v>13</v>
      </c>
      <c r="Q5" s="7" t="inlineStr">
        <is>
          <t>13 weeks</t>
        </is>
      </c>
    </row>
    <row r="6">
      <c r="B6" s="29" t="inlineStr">
        <is>
          <t>Week commencing</t>
        </is>
      </c>
      <c r="D6" s="10" t="n">
        <v>46209</v>
      </c>
      <c r="E6" s="10" t="n">
        <v>46216</v>
      </c>
      <c r="F6" s="10" t="n">
        <v>46223</v>
      </c>
      <c r="G6" s="10" t="n">
        <v>46230</v>
      </c>
      <c r="H6" s="10" t="n">
        <v>46237</v>
      </c>
      <c r="I6" s="10" t="n">
        <v>46244</v>
      </c>
      <c r="J6" s="10" t="n">
        <v>46251</v>
      </c>
      <c r="K6" s="10" t="n">
        <v>46258</v>
      </c>
      <c r="L6" s="10" t="n">
        <v>46265</v>
      </c>
      <c r="M6" s="10" t="n">
        <v>46272</v>
      </c>
      <c r="N6" s="10" t="n">
        <v>46279</v>
      </c>
      <c r="O6" s="10" t="n">
        <v>46286</v>
      </c>
      <c r="P6" s="10" t="n">
        <v>46293</v>
      </c>
    </row>
    <row r="7">
      <c r="B7" s="29" t="inlineStr">
        <is>
          <t>Model month</t>
        </is>
      </c>
      <c r="D7">
        <f>(YEAR(D6)-2026)*12+MONTH(D6)-6</f>
        <v>1</v>
      </c>
      <c r="E7">
        <f>(YEAR(E6)-2026)*12+MONTH(E6)-6</f>
        <v>1</v>
      </c>
      <c r="F7">
        <f>(YEAR(F6)-2026)*12+MONTH(F6)-6</f>
        <v>1</v>
      </c>
      <c r="G7">
        <f>(YEAR(G6)-2026)*12+MONTH(G6)-6</f>
        <v>1</v>
      </c>
      <c r="H7">
        <f>(YEAR(H6)-2026)*12+MONTH(H6)-6</f>
        <v>2</v>
      </c>
      <c r="I7">
        <f>(YEAR(I6)-2026)*12+MONTH(I6)-6</f>
        <v>2</v>
      </c>
      <c r="J7">
        <f>(YEAR(J6)-2026)*12+MONTH(J6)-6</f>
        <v>2</v>
      </c>
      <c r="K7">
        <f>(YEAR(K6)-2026)*12+MONTH(K6)-6</f>
        <v>2</v>
      </c>
      <c r="L7">
        <f>(YEAR(L6)-2026)*12+MONTH(L6)-6</f>
        <v>2</v>
      </c>
      <c r="M7">
        <f>(YEAR(M6)-2026)*12+MONTH(M6)-6</f>
        <v>3</v>
      </c>
      <c r="N7">
        <f>(YEAR(N6)-2026)*12+MONTH(N6)-6</f>
        <v>3</v>
      </c>
      <c r="O7">
        <f>(YEAR(O6)-2026)*12+MONTH(O6)-6</f>
        <v>3</v>
      </c>
      <c r="P7">
        <f>(YEAR(P6)-2026)*12+MONTH(P6)-6</f>
        <v>3</v>
      </c>
    </row>
    <row r="8">
      <c r="B8" s="29" t="inlineStr">
        <is>
          <t>Weeks in month</t>
        </is>
      </c>
      <c r="D8">
        <f>COUNTIF($D$7:$P$7,D7)</f>
        <v>4</v>
      </c>
      <c r="E8">
        <f>COUNTIF($D$7:$P$7,E7)</f>
        <v>4</v>
      </c>
      <c r="F8">
        <f>COUNTIF($D$7:$P$7,F7)</f>
        <v>4</v>
      </c>
      <c r="G8">
        <f>COUNTIF($D$7:$P$7,G7)</f>
        <v>4</v>
      </c>
      <c r="H8">
        <f>COUNTIF($D$7:$P$7,H7)</f>
        <v>5</v>
      </c>
      <c r="I8">
        <f>COUNTIF($D$7:$P$7,I7)</f>
        <v>5</v>
      </c>
      <c r="J8">
        <f>COUNTIF($D$7:$P$7,J7)</f>
        <v>5</v>
      </c>
      <c r="K8">
        <f>COUNTIF($D$7:$P$7,K7)</f>
        <v>5</v>
      </c>
      <c r="L8">
        <f>COUNTIF($D$7:$P$7,L7)</f>
        <v>5</v>
      </c>
      <c r="M8">
        <f>COUNTIF($D$7:$P$7,M7)</f>
        <v>4</v>
      </c>
      <c r="N8">
        <f>COUNTIF($D$7:$P$7,N7)</f>
        <v>4</v>
      </c>
      <c r="O8">
        <f>COUNTIF($D$7:$P$7,O7)</f>
        <v>4</v>
      </c>
      <c r="P8">
        <f>COUNTIF($D$7:$P$7,P7)</f>
        <v>4</v>
      </c>
    </row>
    <row r="9">
      <c r="B9" s="29" t="inlineStr">
        <is>
          <t>First week of month (1/0)</t>
        </is>
      </c>
      <c r="D9" t="n">
        <v>1</v>
      </c>
      <c r="E9">
        <f>IF(E7&lt;&gt;D7,1,0)</f>
        <v>0</v>
      </c>
      <c r="F9">
        <f>IF(F7&lt;&gt;E7,1,0)</f>
        <v>0</v>
      </c>
      <c r="G9">
        <f>IF(G7&lt;&gt;F7,1,0)</f>
        <v>0</v>
      </c>
      <c r="H9">
        <f>IF(H7&lt;&gt;G7,1,0)</f>
        <v>1</v>
      </c>
      <c r="I9">
        <f>IF(I7&lt;&gt;H7,1,0)</f>
        <v>0</v>
      </c>
      <c r="J9">
        <f>IF(J7&lt;&gt;I7,1,0)</f>
        <v>0</v>
      </c>
      <c r="K9">
        <f>IF(K7&lt;&gt;J7,1,0)</f>
        <v>0</v>
      </c>
      <c r="L9">
        <f>IF(L7&lt;&gt;K7,1,0)</f>
        <v>0</v>
      </c>
      <c r="M9">
        <f>IF(M7&lt;&gt;L7,1,0)</f>
        <v>1</v>
      </c>
      <c r="N9">
        <f>IF(N7&lt;&gt;M7,1,0)</f>
        <v>0</v>
      </c>
      <c r="O9">
        <f>IF(O7&lt;&gt;N7,1,0)</f>
        <v>0</v>
      </c>
      <c r="P9">
        <f>IF(P7&lt;&gt;O7,1,0)</f>
        <v>0</v>
      </c>
    </row>
    <row r="10">
      <c r="B10" s="29" t="inlineStr">
        <is>
          <t>Last week of month (1/0)</t>
        </is>
      </c>
      <c r="D10">
        <f>IF(E7&lt;&gt;D7,1,0)</f>
        <v>0</v>
      </c>
      <c r="E10">
        <f>IF(F7&lt;&gt;E7,1,0)</f>
        <v>0</v>
      </c>
      <c r="F10">
        <f>IF(G7&lt;&gt;F7,1,0)</f>
        <v>0</v>
      </c>
      <c r="G10">
        <f>IF(H7&lt;&gt;G7,1,0)</f>
        <v>1</v>
      </c>
      <c r="H10">
        <f>IF(I7&lt;&gt;H7,1,0)</f>
        <v>0</v>
      </c>
      <c r="I10">
        <f>IF(J7&lt;&gt;I7,1,0)</f>
        <v>0</v>
      </c>
      <c r="J10">
        <f>IF(K7&lt;&gt;J7,1,0)</f>
        <v>0</v>
      </c>
      <c r="K10">
        <f>IF(L7&lt;&gt;K7,1,0)</f>
        <v>0</v>
      </c>
      <c r="L10">
        <f>IF(M7&lt;&gt;L7,1,0)</f>
        <v>1</v>
      </c>
      <c r="M10">
        <f>IF(N7&lt;&gt;M7,1,0)</f>
        <v>0</v>
      </c>
      <c r="N10">
        <f>IF(O7&lt;&gt;N7,1,0)</f>
        <v>0</v>
      </c>
      <c r="O10">
        <f>IF(P7&lt;&gt;O7,1,0)</f>
        <v>0</v>
      </c>
      <c r="P10" t="n">
        <v>1</v>
      </c>
    </row>
    <row r="11">
      <c r="B11" s="29" t="inlineStr">
        <is>
          <t>Wholesale sales this week</t>
        </is>
      </c>
      <c r="D11">
        <f>INDEX('P&amp;L'!$D$13:$AA$13,D7)/D8</f>
        <v>14877</v>
      </c>
      <c r="E11">
        <f>INDEX('P&amp;L'!$D$13:$AA$13,E7)/E8</f>
        <v>14877</v>
      </c>
      <c r="F11">
        <f>INDEX('P&amp;L'!$D$13:$AA$13,F7)/F8</f>
        <v>14877</v>
      </c>
      <c r="G11">
        <f>INDEX('P&amp;L'!$D$13:$AA$13,G7)/G8</f>
        <v>14877</v>
      </c>
      <c r="H11">
        <f>INDEX('P&amp;L'!$D$13:$AA$13,H7)/H8</f>
        <v>12065.76</v>
      </c>
      <c r="I11">
        <f>INDEX('P&amp;L'!$D$13:$AA$13,I7)/I8</f>
        <v>12065.76</v>
      </c>
      <c r="J11">
        <f>INDEX('P&amp;L'!$D$13:$AA$13,J7)/J8</f>
        <v>12065.76</v>
      </c>
      <c r="K11">
        <f>INDEX('P&amp;L'!$D$13:$AA$13,K7)/K8</f>
        <v>12065.76</v>
      </c>
      <c r="L11">
        <f>INDEX('P&amp;L'!$D$13:$AA$13,L7)/L8</f>
        <v>12065.76</v>
      </c>
      <c r="M11">
        <f>INDEX('P&amp;L'!$D$13:$AA$13,M7)/M8</f>
        <v>15903</v>
      </c>
      <c r="N11">
        <f>INDEX('P&amp;L'!$D$13:$AA$13,N7)/N8</f>
        <v>15903</v>
      </c>
      <c r="O11">
        <f>INDEX('P&amp;L'!$D$13:$AA$13,O7)/O8</f>
        <v>15903</v>
      </c>
      <c r="P11">
        <f>INDEX('P&amp;L'!$D$13:$AA$13,P7)/P8</f>
        <v>15903</v>
      </c>
    </row>
    <row r="12">
      <c r="B12" s="29" t="inlineStr">
        <is>
          <t>Cost of goods this week</t>
        </is>
      </c>
      <c r="D12">
        <f>-INDEX('P&amp;L'!$D$16:$AA$16,D7)/D8</f>
        <v>8730.18</v>
      </c>
      <c r="E12">
        <f>-INDEX('P&amp;L'!$D$16:$AA$16,E7)/E8</f>
        <v>8730.18</v>
      </c>
      <c r="F12">
        <f>-INDEX('P&amp;L'!$D$16:$AA$16,F7)/F8</f>
        <v>8730.18</v>
      </c>
      <c r="G12">
        <f>-INDEX('P&amp;L'!$D$16:$AA$16,G7)/G8</f>
        <v>8730.18</v>
      </c>
      <c r="H12">
        <f>-INDEX('P&amp;L'!$D$16:$AA$16,H7)/H8</f>
        <v>7038.78336</v>
      </c>
      <c r="I12">
        <f>-INDEX('P&amp;L'!$D$16:$AA$16,I7)/I8</f>
        <v>7038.78336</v>
      </c>
      <c r="J12">
        <f>-INDEX('P&amp;L'!$D$16:$AA$16,J7)/J8</f>
        <v>7038.78336</v>
      </c>
      <c r="K12">
        <f>-INDEX('P&amp;L'!$D$16:$AA$16,K7)/K8</f>
        <v>7038.78336</v>
      </c>
      <c r="L12">
        <f>-INDEX('P&amp;L'!$D$16:$AA$16,L7)/L8</f>
        <v>7038.78336</v>
      </c>
      <c r="M12">
        <f>-INDEX('P&amp;L'!$D$16:$AA$16,M7)/M8</f>
        <v>9227.3688</v>
      </c>
      <c r="N12">
        <f>-INDEX('P&amp;L'!$D$16:$AA$16,N7)/N8</f>
        <v>9227.3688</v>
      </c>
      <c r="O12">
        <f>-INDEX('P&amp;L'!$D$16:$AA$16,O7)/O8</f>
        <v>9227.3688</v>
      </c>
      <c r="P12">
        <f>-INDEX('P&amp;L'!$D$16:$AA$16,P7)/P8</f>
        <v>9227.3688</v>
      </c>
    </row>
    <row r="13">
      <c r="B13" s="29" t="inlineStr">
        <is>
          <t>Debtor lag (weeks)</t>
        </is>
      </c>
      <c r="C13" s="3">
        <f>MAX(1,ROUND(Assumptions!$G$29/7,0))</f>
        <v>4</v>
      </c>
    </row>
    <row r="14">
      <c r="B14" s="29" t="inlineStr">
        <is>
          <t>Supplier lag (weeks)</t>
        </is>
      </c>
      <c r="C14" s="3">
        <f>MAX(1,ROUND(Assumptions!$G$31/7,0))</f>
        <v>4</v>
      </c>
    </row>
    <row r="15">
      <c r="B15" s="5" t="inlineStr">
        <is>
          <t>RECEIPTS</t>
        </is>
      </c>
    </row>
    <row r="16">
      <c r="B16" t="inlineStr">
        <is>
          <t>Online sales (net of fees)</t>
        </is>
      </c>
      <c r="D16" s="8">
        <f>INDEX('P&amp;L'!$D$14:$AA$14,D7)*(1-Assumptions!$G$17)/D8</f>
        <v>9828</v>
      </c>
      <c r="E16" s="8">
        <f>INDEX('P&amp;L'!$D$14:$AA$14,E7)*(1-Assumptions!$G$17)/E8</f>
        <v>9828</v>
      </c>
      <c r="F16" s="8">
        <f>INDEX('P&amp;L'!$D$14:$AA$14,F7)*(1-Assumptions!$G$17)/F8</f>
        <v>9828</v>
      </c>
      <c r="G16" s="8">
        <f>INDEX('P&amp;L'!$D$14:$AA$14,G7)*(1-Assumptions!$G$17)/G8</f>
        <v>9828</v>
      </c>
      <c r="H16" s="8">
        <f>INDEX('P&amp;L'!$D$14:$AA$14,H7)*(1-Assumptions!$G$17)/H8</f>
        <v>7859.25504</v>
      </c>
      <c r="I16" s="8">
        <f>INDEX('P&amp;L'!$D$14:$AA$14,I7)*(1-Assumptions!$G$17)/I8</f>
        <v>7859.25504</v>
      </c>
      <c r="J16" s="8">
        <f>INDEX('P&amp;L'!$D$14:$AA$14,J7)*(1-Assumptions!$G$17)/J8</f>
        <v>7859.25504</v>
      </c>
      <c r="K16" s="8">
        <f>INDEX('P&amp;L'!$D$14:$AA$14,K7)*(1-Assumptions!$G$17)/K8</f>
        <v>7859.25504</v>
      </c>
      <c r="L16" s="8">
        <f>INDEX('P&amp;L'!$D$14:$AA$14,L7)*(1-Assumptions!$G$17)/L8</f>
        <v>7859.25504</v>
      </c>
      <c r="M16" s="8">
        <f>INDEX('P&amp;L'!$D$14:$AA$14,M7)*(1-Assumptions!$G$17)/M8</f>
        <v>10225.0512</v>
      </c>
      <c r="N16" s="8">
        <f>INDEX('P&amp;L'!$D$14:$AA$14,N7)*(1-Assumptions!$G$17)/N8</f>
        <v>10225.0512</v>
      </c>
      <c r="O16" s="8">
        <f>INDEX('P&amp;L'!$D$14:$AA$14,O7)*(1-Assumptions!$G$17)/O8</f>
        <v>10225.0512</v>
      </c>
      <c r="P16" s="8">
        <f>INDEX('P&amp;L'!$D$14:$AA$14,P7)*(1-Assumptions!$G$17)/P8</f>
        <v>10225.0512</v>
      </c>
      <c r="Q16" s="25">
        <f>SUM(D16:P16)</f>
        <v>119508.48</v>
      </c>
    </row>
    <row r="17">
      <c r="B17" t="inlineStr">
        <is>
          <t>Wholesale collections</t>
        </is>
      </c>
      <c r="D17" s="8">
        <f>IF(D5&lt;=$C$13,Assumptions!$D$46/$C$13,INDEX($D$11:$P$11,D5-$C$13))</f>
        <v>11250</v>
      </c>
      <c r="E17" s="8">
        <f>IF(E5&lt;=$C$13,Assumptions!$D$46/$C$13,INDEX($D$11:$P$11,E5-$C$13))</f>
        <v>11250</v>
      </c>
      <c r="F17" s="8">
        <f>IF(F5&lt;=$C$13,Assumptions!$D$46/$C$13,INDEX($D$11:$P$11,F5-$C$13))</f>
        <v>11250</v>
      </c>
      <c r="G17" s="8">
        <f>IF(G5&lt;=$C$13,Assumptions!$D$46/$C$13,INDEX($D$11:$P$11,G5-$C$13))</f>
        <v>11250</v>
      </c>
      <c r="H17" s="8">
        <f>IF(H5&lt;=$C$13,Assumptions!$D$46/$C$13,INDEX($D$11:$P$11,H5-$C$13))</f>
        <v>14877</v>
      </c>
      <c r="I17" s="8">
        <f>IF(I5&lt;=$C$13,Assumptions!$D$46/$C$13,INDEX($D$11:$P$11,I5-$C$13))</f>
        <v>14877</v>
      </c>
      <c r="J17" s="8">
        <f>IF(J5&lt;=$C$13,Assumptions!$D$46/$C$13,INDEX($D$11:$P$11,J5-$C$13))</f>
        <v>14877</v>
      </c>
      <c r="K17" s="8">
        <f>IF(K5&lt;=$C$13,Assumptions!$D$46/$C$13,INDEX($D$11:$P$11,K5-$C$13))</f>
        <v>14877</v>
      </c>
      <c r="L17" s="8">
        <f>IF(L5&lt;=$C$13,Assumptions!$D$46/$C$13,INDEX($D$11:$P$11,L5-$C$13))</f>
        <v>12065.76</v>
      </c>
      <c r="M17" s="8">
        <f>IF(M5&lt;=$C$13,Assumptions!$D$46/$C$13,INDEX($D$11:$P$11,M5-$C$13))</f>
        <v>12065.76</v>
      </c>
      <c r="N17" s="8">
        <f>IF(N5&lt;=$C$13,Assumptions!$D$46/$C$13,INDEX($D$11:$P$11,N5-$C$13))</f>
        <v>12065.76</v>
      </c>
      <c r="O17" s="8">
        <f>IF(O5&lt;=$C$13,Assumptions!$D$46/$C$13,INDEX($D$11:$P$11,O5-$C$13))</f>
        <v>12065.76</v>
      </c>
      <c r="P17" s="8">
        <f>IF(P5&lt;=$C$13,Assumptions!$D$46/$C$13,INDEX($D$11:$P$11,P5-$C$13))</f>
        <v>12065.76</v>
      </c>
      <c r="Q17" s="25">
        <f>SUM(D17:P17)</f>
        <v>164836.8</v>
      </c>
    </row>
    <row r="18">
      <c r="B18" s="3" t="inlineStr">
        <is>
          <t>Total receipts</t>
        </is>
      </c>
      <c r="D18" s="26">
        <f>D16+D17</f>
        <v>21078</v>
      </c>
      <c r="E18" s="26">
        <f>E16+E17</f>
        <v>21078</v>
      </c>
      <c r="F18" s="26">
        <f>F16+F17</f>
        <v>21078</v>
      </c>
      <c r="G18" s="26">
        <f>G16+G17</f>
        <v>21078</v>
      </c>
      <c r="H18" s="26">
        <f>H16+H17</f>
        <v>22736.25504</v>
      </c>
      <c r="I18" s="26">
        <f>I16+I17</f>
        <v>22736.25504</v>
      </c>
      <c r="J18" s="26">
        <f>J16+J17</f>
        <v>22736.25504</v>
      </c>
      <c r="K18" s="26">
        <f>K16+K17</f>
        <v>22736.25504</v>
      </c>
      <c r="L18" s="26">
        <f>L16+L17</f>
        <v>19925.01504</v>
      </c>
      <c r="M18" s="26">
        <f>M16+M17</f>
        <v>22290.8112</v>
      </c>
      <c r="N18" s="26">
        <f>N16+N17</f>
        <v>22290.8112</v>
      </c>
      <c r="O18" s="26">
        <f>O16+O17</f>
        <v>22290.8112</v>
      </c>
      <c r="P18" s="26">
        <f>P16+P17</f>
        <v>22290.8112</v>
      </c>
      <c r="Q18" s="25">
        <f>SUM(D18:P18)</f>
        <v>284345.28</v>
      </c>
    </row>
    <row r="19">
      <c r="B19" s="5" t="inlineStr">
        <is>
          <t>PAYMENTS</t>
        </is>
      </c>
    </row>
    <row r="20">
      <c r="B20" t="inlineStr">
        <is>
          <t>Suppliers (green beans, packaging)</t>
        </is>
      </c>
      <c r="D20" s="8">
        <f>IF(D5&lt;=$C$14,Assumptions!$D$49/$C$14,INDEX($D$12:$P$12,D5-$C$14))</f>
        <v>7750</v>
      </c>
      <c r="E20" s="8">
        <f>IF(E5&lt;=$C$14,Assumptions!$D$49/$C$14,INDEX($D$12:$P$12,E5-$C$14))</f>
        <v>7750</v>
      </c>
      <c r="F20" s="8">
        <f>IF(F5&lt;=$C$14,Assumptions!$D$49/$C$14,INDEX($D$12:$P$12,F5-$C$14))</f>
        <v>7750</v>
      </c>
      <c r="G20" s="8">
        <f>IF(G5&lt;=$C$14,Assumptions!$D$49/$C$14,INDEX($D$12:$P$12,G5-$C$14))</f>
        <v>7750</v>
      </c>
      <c r="H20" s="8">
        <f>IF(H5&lt;=$C$14,Assumptions!$D$49/$C$14,INDEX($D$12:$P$12,H5-$C$14))</f>
        <v>8730.18</v>
      </c>
      <c r="I20" s="8">
        <f>IF(I5&lt;=$C$14,Assumptions!$D$49/$C$14,INDEX($D$12:$P$12,I5-$C$14))</f>
        <v>8730.18</v>
      </c>
      <c r="J20" s="8">
        <f>IF(J5&lt;=$C$14,Assumptions!$D$49/$C$14,INDEX($D$12:$P$12,J5-$C$14))</f>
        <v>8730.18</v>
      </c>
      <c r="K20" s="8">
        <f>IF(K5&lt;=$C$14,Assumptions!$D$49/$C$14,INDEX($D$12:$P$12,K5-$C$14))</f>
        <v>8730.18</v>
      </c>
      <c r="L20" s="8">
        <f>IF(L5&lt;=$C$14,Assumptions!$D$49/$C$14,INDEX($D$12:$P$12,L5-$C$14))</f>
        <v>7038.78336</v>
      </c>
      <c r="M20" s="8">
        <f>IF(M5&lt;=$C$14,Assumptions!$D$49/$C$14,INDEX($D$12:$P$12,M5-$C$14))</f>
        <v>7038.78336</v>
      </c>
      <c r="N20" s="8">
        <f>IF(N5&lt;=$C$14,Assumptions!$D$49/$C$14,INDEX($D$12:$P$12,N5-$C$14))</f>
        <v>7038.78336</v>
      </c>
      <c r="O20" s="8">
        <f>IF(O5&lt;=$C$14,Assumptions!$D$49/$C$14,INDEX($D$12:$P$12,O5-$C$14))</f>
        <v>7038.78336</v>
      </c>
      <c r="P20" s="8">
        <f>IF(P5&lt;=$C$14,Assumptions!$D$49/$C$14,INDEX($D$12:$P$12,P5-$C$14))</f>
        <v>7038.78336</v>
      </c>
      <c r="Q20" s="25">
        <f>SUM(D20:P20)</f>
        <v>101114.6368</v>
      </c>
    </row>
    <row r="21">
      <c r="B21" t="inlineStr">
        <is>
          <t>Payroll (fortnightly)</t>
        </is>
      </c>
      <c r="D21" s="8">
        <f>IF(MOD(D5,2)=0,-INDEX('P&amp;L'!$D$21:$AA$21,D7)*12/26,0)</f>
        <v>0</v>
      </c>
      <c r="E21" s="8">
        <f>IF(MOD(E5,2)=0,-INDEX('P&amp;L'!$D$21:$AA$21,E7)*12/26,0)</f>
        <v>18923.0769230769</v>
      </c>
      <c r="F21" s="8">
        <f>IF(MOD(F5,2)=0,-INDEX('P&amp;L'!$D$21:$AA$21,F7)*12/26,0)</f>
        <v>0</v>
      </c>
      <c r="G21" s="8">
        <f>IF(MOD(G5,2)=0,-INDEX('P&amp;L'!$D$21:$AA$21,G7)*12/26,0)</f>
        <v>18923.0769230769</v>
      </c>
      <c r="H21" s="8">
        <f>IF(MOD(H5,2)=0,-INDEX('P&amp;L'!$D$21:$AA$21,H7)*12/26,0)</f>
        <v>0</v>
      </c>
      <c r="I21" s="8">
        <f>IF(MOD(I5,2)=0,-INDEX('P&amp;L'!$D$21:$AA$21,I7)*12/26,0)</f>
        <v>18923.0769230769</v>
      </c>
      <c r="J21" s="8">
        <f>IF(MOD(J5,2)=0,-INDEX('P&amp;L'!$D$21:$AA$21,J7)*12/26,0)</f>
        <v>0</v>
      </c>
      <c r="K21" s="8">
        <f>IF(MOD(K5,2)=0,-INDEX('P&amp;L'!$D$21:$AA$21,K7)*12/26,0)</f>
        <v>18923.0769230769</v>
      </c>
      <c r="L21" s="8">
        <f>IF(MOD(L5,2)=0,-INDEX('P&amp;L'!$D$21:$AA$21,L7)*12/26,0)</f>
        <v>0</v>
      </c>
      <c r="M21" s="8">
        <f>IF(MOD(M5,2)=0,-INDEX('P&amp;L'!$D$21:$AA$21,M7)*12/26,0)</f>
        <v>18923.0769230769</v>
      </c>
      <c r="N21" s="8">
        <f>IF(MOD(N5,2)=0,-INDEX('P&amp;L'!$D$21:$AA$21,N7)*12/26,0)</f>
        <v>0</v>
      </c>
      <c r="O21" s="8">
        <f>IF(MOD(O5,2)=0,-INDEX('P&amp;L'!$D$21:$AA$21,O7)*12/26,0)</f>
        <v>18923.0769230769</v>
      </c>
      <c r="P21" s="8">
        <f>IF(MOD(P5,2)=0,-INDEX('P&amp;L'!$D$21:$AA$21,P7)*12/26,0)</f>
        <v>0</v>
      </c>
      <c r="Q21" s="25">
        <f>SUM(D21:P21)</f>
        <v>113538.461538462</v>
      </c>
    </row>
    <row r="22">
      <c r="B22" t="inlineStr">
        <is>
          <t>Rent</t>
        </is>
      </c>
      <c r="D22" s="8">
        <f>IF(D9=1,-INDEX('P&amp;L'!$D$22:$AA$22,D7),0)</f>
        <v>7800</v>
      </c>
      <c r="E22" s="8">
        <f>IF(E9=1,-INDEX('P&amp;L'!$D$22:$AA$22,E7),0)</f>
        <v>0</v>
      </c>
      <c r="F22" s="8">
        <f>IF(F9=1,-INDEX('P&amp;L'!$D$22:$AA$22,F7),0)</f>
        <v>0</v>
      </c>
      <c r="G22" s="8">
        <f>IF(G9=1,-INDEX('P&amp;L'!$D$22:$AA$22,G7),0)</f>
        <v>0</v>
      </c>
      <c r="H22" s="8">
        <f>IF(H9=1,-INDEX('P&amp;L'!$D$22:$AA$22,H7),0)</f>
        <v>7800</v>
      </c>
      <c r="I22" s="8">
        <f>IF(I9=1,-INDEX('P&amp;L'!$D$22:$AA$22,I7),0)</f>
        <v>0</v>
      </c>
      <c r="J22" s="8">
        <f>IF(J9=1,-INDEX('P&amp;L'!$D$22:$AA$22,J7),0)</f>
        <v>0</v>
      </c>
      <c r="K22" s="8">
        <f>IF(K9=1,-INDEX('P&amp;L'!$D$22:$AA$22,K7),0)</f>
        <v>0</v>
      </c>
      <c r="L22" s="8">
        <f>IF(L9=1,-INDEX('P&amp;L'!$D$22:$AA$22,L7),0)</f>
        <v>0</v>
      </c>
      <c r="M22" s="8">
        <f>IF(M9=1,-INDEX('P&amp;L'!$D$22:$AA$22,M7),0)</f>
        <v>7800</v>
      </c>
      <c r="N22" s="8">
        <f>IF(N9=1,-INDEX('P&amp;L'!$D$22:$AA$22,N7),0)</f>
        <v>0</v>
      </c>
      <c r="O22" s="8">
        <f>IF(O9=1,-INDEX('P&amp;L'!$D$22:$AA$22,O7),0)</f>
        <v>0</v>
      </c>
      <c r="P22" s="8">
        <f>IF(P9=1,-INDEX('P&amp;L'!$D$22:$AA$22,P7),0)</f>
        <v>0</v>
      </c>
      <c r="Q22" s="25">
        <f>SUM(D22:P22)</f>
        <v>23400</v>
      </c>
    </row>
    <row r="23">
      <c r="B23" t="inlineStr">
        <is>
          <t>Marketing</t>
        </is>
      </c>
      <c r="D23" s="8">
        <f>-INDEX('P&amp;L'!$D$23:$AA$23,D7)/D8</f>
        <v>1027.08</v>
      </c>
      <c r="E23" s="8">
        <f>-INDEX('P&amp;L'!$D$23:$AA$23,E7)/E8</f>
        <v>1027.08</v>
      </c>
      <c r="F23" s="8">
        <f>-INDEX('P&amp;L'!$D$23:$AA$23,F7)/F8</f>
        <v>1027.08</v>
      </c>
      <c r="G23" s="8">
        <f>-INDEX('P&amp;L'!$D$23:$AA$23,G7)/G8</f>
        <v>1027.08</v>
      </c>
      <c r="H23" s="8">
        <f>-INDEX('P&amp;L'!$D$23:$AA$23,H7)/H8</f>
        <v>828.09216</v>
      </c>
      <c r="I23" s="8">
        <f>-INDEX('P&amp;L'!$D$23:$AA$23,I7)/I8</f>
        <v>828.09216</v>
      </c>
      <c r="J23" s="8">
        <f>-INDEX('P&amp;L'!$D$23:$AA$23,J7)/J8</f>
        <v>828.09216</v>
      </c>
      <c r="K23" s="8">
        <f>-INDEX('P&amp;L'!$D$23:$AA$23,K7)/K8</f>
        <v>828.09216</v>
      </c>
      <c r="L23" s="8">
        <f>-INDEX('P&amp;L'!$D$23:$AA$23,L7)/L8</f>
        <v>828.09216</v>
      </c>
      <c r="M23" s="8">
        <f>-INDEX('P&amp;L'!$D$23:$AA$23,M7)/M8</f>
        <v>1085.5728</v>
      </c>
      <c r="N23" s="8">
        <f>-INDEX('P&amp;L'!$D$23:$AA$23,N7)/N8</f>
        <v>1085.5728</v>
      </c>
      <c r="O23" s="8">
        <f>-INDEX('P&amp;L'!$D$23:$AA$23,O7)/O8</f>
        <v>1085.5728</v>
      </c>
      <c r="P23" s="8">
        <f>-INDEX('P&amp;L'!$D$23:$AA$23,P7)/P8</f>
        <v>1085.5728</v>
      </c>
      <c r="Q23" s="25">
        <f>SUM(D23:P23)</f>
        <v>12591.072</v>
      </c>
    </row>
    <row r="24">
      <c r="B24" t="inlineStr">
        <is>
          <t>Other overheads</t>
        </is>
      </c>
      <c r="D24" s="8">
        <f>-INDEX('P&amp;L'!$D$24:$AA$24,D7)/D8</f>
        <v>1625</v>
      </c>
      <c r="E24" s="8">
        <f>-INDEX('P&amp;L'!$D$24:$AA$24,E7)/E8</f>
        <v>1625</v>
      </c>
      <c r="F24" s="8">
        <f>-INDEX('P&amp;L'!$D$24:$AA$24,F7)/F8</f>
        <v>1625</v>
      </c>
      <c r="G24" s="8">
        <f>-INDEX('P&amp;L'!$D$24:$AA$24,G7)/G8</f>
        <v>1625</v>
      </c>
      <c r="H24" s="8">
        <f>-INDEX('P&amp;L'!$D$24:$AA$24,H7)/H8</f>
        <v>1300</v>
      </c>
      <c r="I24" s="8">
        <f>-INDEX('P&amp;L'!$D$24:$AA$24,I7)/I8</f>
        <v>1300</v>
      </c>
      <c r="J24" s="8">
        <f>-INDEX('P&amp;L'!$D$24:$AA$24,J7)/J8</f>
        <v>1300</v>
      </c>
      <c r="K24" s="8">
        <f>-INDEX('P&amp;L'!$D$24:$AA$24,K7)/K8</f>
        <v>1300</v>
      </c>
      <c r="L24" s="8">
        <f>-INDEX('P&amp;L'!$D$24:$AA$24,L7)/L8</f>
        <v>1300</v>
      </c>
      <c r="M24" s="8">
        <f>-INDEX('P&amp;L'!$D$24:$AA$24,M7)/M8</f>
        <v>1625</v>
      </c>
      <c r="N24" s="8">
        <f>-INDEX('P&amp;L'!$D$24:$AA$24,N7)/N8</f>
        <v>1625</v>
      </c>
      <c r="O24" s="8">
        <f>-INDEX('P&amp;L'!$D$24:$AA$24,O7)/O8</f>
        <v>1625</v>
      </c>
      <c r="P24" s="8">
        <f>-INDEX('P&amp;L'!$D$24:$AA$24,P7)/P8</f>
        <v>1625</v>
      </c>
      <c r="Q24" s="25">
        <f>SUM(D24:P24)</f>
        <v>19500</v>
      </c>
    </row>
    <row r="25">
      <c r="B25" t="inlineStr">
        <is>
          <t>Loan interest + principal</t>
        </is>
      </c>
      <c r="D25" s="8">
        <f>IF(D10=1,-INDEX('P&amp;L'!$D$30:$AA$30,D7)-INDEX('Cash Flow'!$D$19:$AA$19,D7),0)</f>
        <v>0</v>
      </c>
      <c r="E25" s="8">
        <f>IF(E10=1,-INDEX('P&amp;L'!$D$30:$AA$30,E7)-INDEX('Cash Flow'!$D$19:$AA$19,E7),0)</f>
        <v>0</v>
      </c>
      <c r="F25" s="8">
        <f>IF(F10=1,-INDEX('P&amp;L'!$D$30:$AA$30,F7)-INDEX('Cash Flow'!$D$19:$AA$19,F7),0)</f>
        <v>0</v>
      </c>
      <c r="G25" s="8">
        <f>IF(G10=1,-INDEX('P&amp;L'!$D$30:$AA$30,G7)-INDEX('Cash Flow'!$D$19:$AA$19,G7),0)</f>
        <v>3350</v>
      </c>
      <c r="H25" s="8">
        <f>IF(H10=1,-INDEX('P&amp;L'!$D$30:$AA$30,H7)-INDEX('Cash Flow'!$D$19:$AA$19,H7),0)</f>
        <v>0</v>
      </c>
      <c r="I25" s="8">
        <f>IF(I10=1,-INDEX('P&amp;L'!$D$30:$AA$30,I7)-INDEX('Cash Flow'!$D$19:$AA$19,I7),0)</f>
        <v>0</v>
      </c>
      <c r="J25" s="8">
        <f>IF(J10=1,-INDEX('P&amp;L'!$D$30:$AA$30,J7)-INDEX('Cash Flow'!$D$19:$AA$19,J7),0)</f>
        <v>0</v>
      </c>
      <c r="K25" s="8">
        <f>IF(K10=1,-INDEX('P&amp;L'!$D$30:$AA$30,K7)-INDEX('Cash Flow'!$D$19:$AA$19,K7),0)</f>
        <v>0</v>
      </c>
      <c r="L25" s="8">
        <f>IF(L10=1,-INDEX('P&amp;L'!$D$30:$AA$30,L7)-INDEX('Cash Flow'!$D$19:$AA$19,L7),0)</f>
        <v>3332.29166666667</v>
      </c>
      <c r="M25" s="8">
        <f>IF(M10=1,-INDEX('P&amp;L'!$D$30:$AA$30,M7)-INDEX('Cash Flow'!$D$19:$AA$19,M7),0)</f>
        <v>0</v>
      </c>
      <c r="N25" s="8">
        <f>IF(N10=1,-INDEX('P&amp;L'!$D$30:$AA$30,N7)-INDEX('Cash Flow'!$D$19:$AA$19,N7),0)</f>
        <v>0</v>
      </c>
      <c r="O25" s="8">
        <f>IF(O10=1,-INDEX('P&amp;L'!$D$30:$AA$30,O7)-INDEX('Cash Flow'!$D$19:$AA$19,O7),0)</f>
        <v>0</v>
      </c>
      <c r="P25" s="8">
        <f>IF(P10=1,-INDEX('P&amp;L'!$D$30:$AA$30,P7)-INDEX('Cash Flow'!$D$19:$AA$19,P7),0)</f>
        <v>3314.58333333333</v>
      </c>
      <c r="Q25" s="25">
        <f>SUM(D25:P25)</f>
        <v>9996.875</v>
      </c>
    </row>
    <row r="26">
      <c r="B26" t="inlineStr">
        <is>
          <t>Tax</t>
        </is>
      </c>
      <c r="D26" s="8">
        <f>IF(D9=1,IF(D7=1,Assumptions!$D$50,-INDEX('P&amp;L'!$D$32:$AA$32,D7-1)),0)</f>
        <v>3000</v>
      </c>
      <c r="E26" s="8">
        <f>IF(E9=1,IF(E7=1,Assumptions!$D$50,-INDEX('P&amp;L'!$D$32:$AA$32,E7-1)),0)</f>
        <v>0</v>
      </c>
      <c r="F26" s="8">
        <f>IF(F9=1,IF(F7=1,Assumptions!$D$50,-INDEX('P&amp;L'!$D$32:$AA$32,F7-1)),0)</f>
        <v>0</v>
      </c>
      <c r="G26" s="8">
        <f>IF(G9=1,IF(G7=1,Assumptions!$D$50,-INDEX('P&amp;L'!$D$32:$AA$32,G7-1)),0)</f>
        <v>0</v>
      </c>
      <c r="H26" s="8">
        <f>IF(H9=1,IF(H7=1,Assumptions!$D$50,-INDEX('P&amp;L'!$D$32:$AA$32,H7-1)),0)</f>
        <v>310.24</v>
      </c>
      <c r="I26" s="8">
        <f>IF(I9=1,IF(I7=1,Assumptions!$D$50,-INDEX('P&amp;L'!$D$32:$AA$32,I7-1)),0)</f>
        <v>0</v>
      </c>
      <c r="J26" s="8">
        <f>IF(J9=1,IF(J7=1,Assumptions!$D$50,-INDEX('P&amp;L'!$D$32:$AA$32,J7-1)),0)</f>
        <v>0</v>
      </c>
      <c r="K26" s="8">
        <f>IF(K9=1,IF(K7=1,Assumptions!$D$50,-INDEX('P&amp;L'!$D$32:$AA$32,K7-1)),0)</f>
        <v>0</v>
      </c>
      <c r="L26" s="8">
        <f>IF(L9=1,IF(L7=1,Assumptions!$D$50,-INDEX('P&amp;L'!$D$32:$AA$32,L7-1)),0)</f>
        <v>0</v>
      </c>
      <c r="M26" s="8">
        <f>IF(M9=1,IF(M7=1,Assumptions!$D$50,-INDEX('P&amp;L'!$D$32:$AA$32,M7-1)),0)</f>
        <v>439.60148333333</v>
      </c>
      <c r="N26" s="8">
        <f>IF(N9=1,IF(N7=1,Assumptions!$D$50,-INDEX('P&amp;L'!$D$32:$AA$32,N7-1)),0)</f>
        <v>0</v>
      </c>
      <c r="O26" s="8">
        <f>IF(O9=1,IF(O7=1,Assumptions!$D$50,-INDEX('P&amp;L'!$D$32:$AA$32,O7-1)),0)</f>
        <v>0</v>
      </c>
      <c r="P26" s="8">
        <f>IF(P9=1,IF(P7=1,Assumptions!$D$50,-INDEX('P&amp;L'!$D$32:$AA$32,P7-1)),0)</f>
        <v>0</v>
      </c>
      <c r="Q26" s="25">
        <f>SUM(D26:P26)</f>
        <v>3749.84148333333</v>
      </c>
    </row>
    <row r="27">
      <c r="B27" t="inlineStr">
        <is>
          <t>Capital purchases</t>
        </is>
      </c>
      <c r="D27" s="8">
        <f>IF(D9=1,-INDEX('Cash Flow'!$D$15:$AA$15,D7),0)</f>
        <v>1000</v>
      </c>
      <c r="E27" s="8">
        <f>IF(E9=1,-INDEX('Cash Flow'!$D$15:$AA$15,E7),0)</f>
        <v>0</v>
      </c>
      <c r="F27" s="8">
        <f>IF(F9=1,-INDEX('Cash Flow'!$D$15:$AA$15,F7),0)</f>
        <v>0</v>
      </c>
      <c r="G27" s="8">
        <f>IF(G9=1,-INDEX('Cash Flow'!$D$15:$AA$15,G7),0)</f>
        <v>0</v>
      </c>
      <c r="H27" s="8">
        <f>IF(H9=1,-INDEX('Cash Flow'!$D$15:$AA$15,H7),0)</f>
        <v>1000</v>
      </c>
      <c r="I27" s="8">
        <f>IF(I9=1,-INDEX('Cash Flow'!$D$15:$AA$15,I7),0)</f>
        <v>0</v>
      </c>
      <c r="J27" s="8">
        <f>IF(J9=1,-INDEX('Cash Flow'!$D$15:$AA$15,J7),0)</f>
        <v>0</v>
      </c>
      <c r="K27" s="8">
        <f>IF(K9=1,-INDEX('Cash Flow'!$D$15:$AA$15,K7),0)</f>
        <v>0</v>
      </c>
      <c r="L27" s="8">
        <f>IF(L9=1,-INDEX('Cash Flow'!$D$15:$AA$15,L7),0)</f>
        <v>0</v>
      </c>
      <c r="M27" s="8">
        <f>IF(M9=1,-INDEX('Cash Flow'!$D$15:$AA$15,M7),0)</f>
        <v>86000</v>
      </c>
      <c r="N27" s="8">
        <f>IF(N9=1,-INDEX('Cash Flow'!$D$15:$AA$15,N7),0)</f>
        <v>0</v>
      </c>
      <c r="O27" s="8">
        <f>IF(O9=1,-INDEX('Cash Flow'!$D$15:$AA$15,O7),0)</f>
        <v>0</v>
      </c>
      <c r="P27" s="8">
        <f>IF(P9=1,-INDEX('Cash Flow'!$D$15:$AA$15,P7),0)</f>
        <v>0</v>
      </c>
      <c r="Q27" s="25">
        <f>SUM(D27:P27)</f>
        <v>88000</v>
      </c>
    </row>
    <row r="28">
      <c r="B28" t="inlineStr">
        <is>
          <t>Dividends</t>
        </is>
      </c>
      <c r="D28" s="8">
        <f>IF(D10=1,-INDEX('Cash Flow'!$D$20:$AA$20,D7),0)</f>
        <v>0</v>
      </c>
      <c r="E28" s="8">
        <f>IF(E10=1,-INDEX('Cash Flow'!$D$20:$AA$20,E7),0)</f>
        <v>0</v>
      </c>
      <c r="F28" s="8">
        <f>IF(F10=1,-INDEX('Cash Flow'!$D$20:$AA$20,F7),0)</f>
        <v>0</v>
      </c>
      <c r="G28" s="8">
        <f>IF(G10=1,-INDEX('Cash Flow'!$D$20:$AA$20,G7),0)</f>
        <v>0</v>
      </c>
      <c r="H28" s="8">
        <f>IF(H10=1,-INDEX('Cash Flow'!$D$20:$AA$20,H7),0)</f>
        <v>0</v>
      </c>
      <c r="I28" s="8">
        <f>IF(I10=1,-INDEX('Cash Flow'!$D$20:$AA$20,I7),0)</f>
        <v>0</v>
      </c>
      <c r="J28" s="8">
        <f>IF(J10=1,-INDEX('Cash Flow'!$D$20:$AA$20,J7),0)</f>
        <v>0</v>
      </c>
      <c r="K28" s="8">
        <f>IF(K10=1,-INDEX('Cash Flow'!$D$20:$AA$20,K7),0)</f>
        <v>0</v>
      </c>
      <c r="L28" s="8">
        <f>IF(L10=1,-INDEX('Cash Flow'!$D$20:$AA$20,L7),0)</f>
        <v>0</v>
      </c>
      <c r="M28" s="8">
        <f>IF(M10=1,-INDEX('Cash Flow'!$D$20:$AA$20,M7),0)</f>
        <v>0</v>
      </c>
      <c r="N28" s="8">
        <f>IF(N10=1,-INDEX('Cash Flow'!$D$20:$AA$20,N7),0)</f>
        <v>0</v>
      </c>
      <c r="O28" s="8">
        <f>IF(O10=1,-INDEX('Cash Flow'!$D$20:$AA$20,O7),0)</f>
        <v>0</v>
      </c>
      <c r="P28" s="8">
        <f>IF(P10=1,-INDEX('Cash Flow'!$D$20:$AA$20,P7),0)</f>
        <v>9000</v>
      </c>
      <c r="Q28" s="25">
        <f>SUM(D28:P28)</f>
        <v>9000</v>
      </c>
    </row>
    <row r="29">
      <c r="B29" s="3" t="inlineStr">
        <is>
          <t>Total payments</t>
        </is>
      </c>
      <c r="D29" s="26">
        <f>SUM(D20:D28)</f>
        <v>22202.08</v>
      </c>
      <c r="E29" s="26">
        <f>SUM(E20:E28)</f>
        <v>29325.1569230769</v>
      </c>
      <c r="F29" s="26">
        <f>SUM(F20:F28)</f>
        <v>10402.08</v>
      </c>
      <c r="G29" s="26">
        <f>SUM(G20:G28)</f>
        <v>32675.1569230769</v>
      </c>
      <c r="H29" s="26">
        <f>SUM(H20:H28)</f>
        <v>19968.51216</v>
      </c>
      <c r="I29" s="26">
        <f>SUM(I20:I28)</f>
        <v>29781.3490830769</v>
      </c>
      <c r="J29" s="26">
        <f>SUM(J20:J28)</f>
        <v>10858.27216</v>
      </c>
      <c r="K29" s="26">
        <f>SUM(K20:K28)</f>
        <v>29781.3490830769</v>
      </c>
      <c r="L29" s="26">
        <f>SUM(L20:L28)</f>
        <v>12499.1671866667</v>
      </c>
      <c r="M29" s="26">
        <f>SUM(M20:M28)</f>
        <v>122912.03456641</v>
      </c>
      <c r="N29" s="26">
        <f>SUM(N20:N28)</f>
        <v>9749.35616</v>
      </c>
      <c r="O29" s="26">
        <f>SUM(O20:O28)</f>
        <v>28672.4330830769</v>
      </c>
      <c r="P29" s="26">
        <f>SUM(P20:P28)</f>
        <v>22063.9394933333</v>
      </c>
      <c r="Q29" s="25">
        <f>SUM(D29:P29)</f>
        <v>380890.886821795</v>
      </c>
    </row>
    <row r="31">
      <c r="B31" t="inlineStr">
        <is>
          <t>Equipment finance drawdown</t>
        </is>
      </c>
      <c r="D31" s="8">
        <f>IF(D9=1,INDEX('Cash Flow'!$D$18:$AA$18,D7),0)</f>
        <v>0</v>
      </c>
      <c r="E31" s="8">
        <f>IF(E9=1,INDEX('Cash Flow'!$D$18:$AA$18,E7),0)</f>
        <v>0</v>
      </c>
      <c r="F31" s="8">
        <f>IF(F9=1,INDEX('Cash Flow'!$D$18:$AA$18,F7),0)</f>
        <v>0</v>
      </c>
      <c r="G31" s="8">
        <f>IF(G9=1,INDEX('Cash Flow'!$D$18:$AA$18,G7),0)</f>
        <v>0</v>
      </c>
      <c r="H31" s="8">
        <f>IF(H9=1,INDEX('Cash Flow'!$D$18:$AA$18,H7),0)</f>
        <v>0</v>
      </c>
      <c r="I31" s="8">
        <f>IF(I9=1,INDEX('Cash Flow'!$D$18:$AA$18,I7),0)</f>
        <v>0</v>
      </c>
      <c r="J31" s="8">
        <f>IF(J9=1,INDEX('Cash Flow'!$D$18:$AA$18,J7),0)</f>
        <v>0</v>
      </c>
      <c r="K31" s="8">
        <f>IF(K9=1,INDEX('Cash Flow'!$D$18:$AA$18,K7),0)</f>
        <v>0</v>
      </c>
      <c r="L31" s="8">
        <f>IF(L9=1,INDEX('Cash Flow'!$D$18:$AA$18,L7),0)</f>
        <v>0</v>
      </c>
      <c r="M31" s="8">
        <f>IF(M9=1,INDEX('Cash Flow'!$D$18:$AA$18,M7),0)</f>
        <v>59500</v>
      </c>
      <c r="N31" s="8">
        <f>IF(N9=1,INDEX('Cash Flow'!$D$18:$AA$18,N7),0)</f>
        <v>0</v>
      </c>
      <c r="O31" s="8">
        <f>IF(O9=1,INDEX('Cash Flow'!$D$18:$AA$18,O7),0)</f>
        <v>0</v>
      </c>
      <c r="P31" s="8">
        <f>IF(P9=1,INDEX('Cash Flow'!$D$18:$AA$18,P7),0)</f>
        <v>0</v>
      </c>
      <c r="Q31" s="25">
        <f>SUM(D31:P31)</f>
        <v>59500</v>
      </c>
    </row>
    <row r="32">
      <c r="B32" s="3" t="inlineStr">
        <is>
          <t>Net cash flow</t>
        </is>
      </c>
      <c r="D32" s="26">
        <f>D18-D29+D31</f>
        <v>-1124.08</v>
      </c>
      <c r="E32" s="26">
        <f>E18-E29+E31</f>
        <v>-8247.15692307692</v>
      </c>
      <c r="F32" s="26">
        <f>F18-F29+F31</f>
        <v>10675.92</v>
      </c>
      <c r="G32" s="26">
        <f>G18-G29+G31</f>
        <v>-11597.1569230769</v>
      </c>
      <c r="H32" s="26">
        <f>H18-H29+H31</f>
        <v>2767.74288</v>
      </c>
      <c r="I32" s="26">
        <f>I18-I29+I31</f>
        <v>-7045.09404307692</v>
      </c>
      <c r="J32" s="26">
        <f>J18-J29+J31</f>
        <v>11877.98288</v>
      </c>
      <c r="K32" s="26">
        <f>K18-K29+K31</f>
        <v>-7045.09404307692</v>
      </c>
      <c r="L32" s="26">
        <f>L18-L29+L31</f>
        <v>7425.84785333333</v>
      </c>
      <c r="M32" s="26">
        <f>M18-M29+M31</f>
        <v>-41121.2233664103</v>
      </c>
      <c r="N32" s="26">
        <f>N18-N29+N31</f>
        <v>12541.45504</v>
      </c>
      <c r="O32" s="26">
        <f>O18-O29+O31</f>
        <v>-6381.62188307693</v>
      </c>
      <c r="P32" s="26">
        <f>P18-P29+P31</f>
        <v>226.871706666665</v>
      </c>
      <c r="Q32" s="25">
        <f>SUM(D32:P32)</f>
        <v>-37045.6068217949</v>
      </c>
    </row>
    <row r="33">
      <c r="B33" t="inlineStr">
        <is>
          <t>Opening cash</t>
        </is>
      </c>
      <c r="D33" s="8">
        <f>Assumptions!$D$45</f>
        <v>64000</v>
      </c>
      <c r="E33" s="8">
        <f>D34</f>
        <v>62875.92</v>
      </c>
      <c r="F33" s="8">
        <f>E34</f>
        <v>54628.7630769231</v>
      </c>
      <c r="G33" s="8">
        <f>F34</f>
        <v>65304.6830769231</v>
      </c>
      <c r="H33" s="8">
        <f>G34</f>
        <v>53707.5261538462</v>
      </c>
      <c r="I33" s="8">
        <f>H34</f>
        <v>56475.2690338462</v>
      </c>
      <c r="J33" s="8">
        <f>I34</f>
        <v>49430.1749907692</v>
      </c>
      <c r="K33" s="8">
        <f>J34</f>
        <v>61308.1578707692</v>
      </c>
      <c r="L33" s="8">
        <f>K34</f>
        <v>54263.0638276923</v>
      </c>
      <c r="M33" s="8">
        <f>L34</f>
        <v>61688.9116810256</v>
      </c>
      <c r="N33" s="8">
        <f>M34</f>
        <v>20567.6883146154</v>
      </c>
      <c r="O33" s="8">
        <f>N34</f>
        <v>33109.1433546154</v>
      </c>
      <c r="P33" s="8">
        <f>O34</f>
        <v>26727.5214715384</v>
      </c>
    </row>
    <row r="34">
      <c r="B34" s="3" t="inlineStr">
        <is>
          <t>Closing cash</t>
        </is>
      </c>
      <c r="D34" s="28">
        <f>D33+D32</f>
        <v>62875.92</v>
      </c>
      <c r="E34" s="28">
        <f>E33+E32</f>
        <v>54628.7630769231</v>
      </c>
      <c r="F34" s="28">
        <f>F33+F32</f>
        <v>65304.6830769231</v>
      </c>
      <c r="G34" s="28">
        <f>G33+G32</f>
        <v>53707.5261538462</v>
      </c>
      <c r="H34" s="28">
        <f>H33+H32</f>
        <v>56475.2690338462</v>
      </c>
      <c r="I34" s="28">
        <f>I33+I32</f>
        <v>49430.1749907692</v>
      </c>
      <c r="J34" s="28">
        <f>J33+J32</f>
        <v>61308.1578707692</v>
      </c>
      <c r="K34" s="28">
        <f>K33+K32</f>
        <v>54263.0638276923</v>
      </c>
      <c r="L34" s="28">
        <f>L33+L32</f>
        <v>61688.9116810256</v>
      </c>
      <c r="M34" s="28">
        <f>M33+M32</f>
        <v>20567.6883146154</v>
      </c>
      <c r="N34" s="28">
        <f>N33+N32</f>
        <v>33109.1433546154</v>
      </c>
      <c r="O34" s="28">
        <f>O33+O32</f>
        <v>26727.5214715384</v>
      </c>
      <c r="P34" s="28">
        <f>P33+P32</f>
        <v>26954.3931782051</v>
      </c>
    </row>
    <row r="35">
      <c r="B35" t="inlineStr">
        <is>
          <t>Minimum cash buffer</t>
        </is>
      </c>
      <c r="D35" s="8">
        <f>Assumptions!$G$36</f>
        <v>25000</v>
      </c>
      <c r="E35" s="8">
        <f>Assumptions!$G$36</f>
        <v>25000</v>
      </c>
      <c r="F35" s="8">
        <f>Assumptions!$G$36</f>
        <v>25000</v>
      </c>
      <c r="G35" s="8">
        <f>Assumptions!$G$36</f>
        <v>25000</v>
      </c>
      <c r="H35" s="8">
        <f>Assumptions!$G$36</f>
        <v>25000</v>
      </c>
      <c r="I35" s="8">
        <f>Assumptions!$G$36</f>
        <v>25000</v>
      </c>
      <c r="J35" s="8">
        <f>Assumptions!$G$36</f>
        <v>25000</v>
      </c>
      <c r="K35" s="8">
        <f>Assumptions!$G$36</f>
        <v>25000</v>
      </c>
      <c r="L35" s="8">
        <f>Assumptions!$G$36</f>
        <v>25000</v>
      </c>
      <c r="M35" s="8">
        <f>Assumptions!$G$36</f>
        <v>25000</v>
      </c>
      <c r="N35" s="8">
        <f>Assumptions!$G$36</f>
        <v>25000</v>
      </c>
      <c r="O35" s="8">
        <f>Assumptions!$G$36</f>
        <v>25000</v>
      </c>
      <c r="P35" s="8">
        <f>Assumptions!$G$36</f>
        <v>25000</v>
      </c>
    </row>
    <row r="36">
      <c r="B36" t="inlineStr">
        <is>
          <t>Headroom incl. overdraft</t>
        </is>
      </c>
      <c r="D36" s="8">
        <f>D34+Assumptions!$G$37</f>
        <v>102875.92</v>
      </c>
      <c r="E36" s="8">
        <f>E34+Assumptions!$G$37</f>
        <v>94628.7630769231</v>
      </c>
      <c r="F36" s="8">
        <f>F34+Assumptions!$G$37</f>
        <v>105304.683076923</v>
      </c>
      <c r="G36" s="8">
        <f>G34+Assumptions!$G$37</f>
        <v>93707.5261538462</v>
      </c>
      <c r="H36" s="8">
        <f>H34+Assumptions!$G$37</f>
        <v>96475.2690338462</v>
      </c>
      <c r="I36" s="8">
        <f>I34+Assumptions!$G$37</f>
        <v>89430.1749907692</v>
      </c>
      <c r="J36" s="8">
        <f>J34+Assumptions!$G$37</f>
        <v>101308.157870769</v>
      </c>
      <c r="K36" s="8">
        <f>K34+Assumptions!$G$37</f>
        <v>94263.0638276923</v>
      </c>
      <c r="L36" s="8">
        <f>L34+Assumptions!$G$37</f>
        <v>101688.911681026</v>
      </c>
      <c r="M36" s="8">
        <f>M34+Assumptions!$G$37</f>
        <v>60567.6883146154</v>
      </c>
      <c r="N36" s="8">
        <f>N34+Assumptions!$G$37</f>
        <v>73109.1433546154</v>
      </c>
      <c r="O36" s="8">
        <f>O34+Assumptions!$G$37</f>
        <v>66727.5214715385</v>
      </c>
      <c r="P36" s="8">
        <f>P34+Assumptions!$G$37</f>
        <v>66954.3931782051</v>
      </c>
    </row>
    <row r="37">
      <c r="B37" t="inlineStr">
        <is>
          <t>Status</t>
        </is>
      </c>
      <c r="D37" s="8" t="str">
        <f>IF(D34&lt;D35,"Below buffer","OK")</f>
        <v>OK</v>
      </c>
      <c r="E37" s="8" t="str">
        <f>IF(E34&lt;E35,"Below buffer","OK")</f>
        <v>OK</v>
      </c>
      <c r="F37" s="8" t="str">
        <f>IF(F34&lt;F35,"Below buffer","OK")</f>
        <v>OK</v>
      </c>
      <c r="G37" s="8" t="str">
        <f>IF(G34&lt;G35,"Below buffer","OK")</f>
        <v>OK</v>
      </c>
      <c r="H37" s="8" t="str">
        <f>IF(H34&lt;H35,"Below buffer","OK")</f>
        <v>OK</v>
      </c>
      <c r="I37" s="8" t="str">
        <f>IF(I34&lt;I35,"Below buffer","OK")</f>
        <v>OK</v>
      </c>
      <c r="J37" s="8" t="str">
        <f>IF(J34&lt;J35,"Below buffer","OK")</f>
        <v>OK</v>
      </c>
      <c r="K37" s="8" t="str">
        <f>IF(K34&lt;K35,"Below buffer","OK")</f>
        <v>OK</v>
      </c>
      <c r="L37" s="8" t="str">
        <f>IF(L34&lt;L35,"Below buffer","OK")</f>
        <v>OK</v>
      </c>
      <c r="M37" s="8" t="str">
        <f>IF(M34&lt;M35,"Below buffer","OK")</f>
        <v>Below buffer</v>
      </c>
      <c r="N37" s="8" t="str">
        <f>IF(N34&lt;N35,"Below buffer","OK")</f>
        <v>OK</v>
      </c>
      <c r="O37" s="8" t="str">
        <f>IF(O34&lt;O35,"Below buffer","OK")</f>
        <v>OK</v>
      </c>
      <c r="P37" s="8" t="str">
        <f>IF(P34&lt;P35,"Below buffer","OK")</f>
        <v>OK</v>
      </c>
    </row>
  </sheetData>
  <conditionalFormatting sqref="D37:P37">
    <cfRule type="cellIs" priority="1" operator="equal" dxfId="3">
      <formula>"Below buffer"</formula>
    </cfRule>
    <cfRule type="cellIs" priority="2" operator="equal" dxfId="1">
      <formula>"OK"</formula>
    </cfRule>
  </conditionalFormatting>
  <conditionalFormatting sqref="D34:P34">
    <cfRule type="expression" priority="3" dxfId="2">
      <formula>D34&lt;D35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1A7F86"/>
    <outlinePr summaryBelow="1" summaryRight="1"/>
    <pageSetUpPr/>
  </sheetPr>
  <dimension ref="B2:E16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14" customWidth="1" min="3" max="3"/>
    <col width="14" customWidth="1" min="4" max="4"/>
    <col width="14" customWidth="1" min="5" max="5"/>
  </cols>
  <sheetData>
    <row r="2">
      <c r="B2" s="1" t="inlineStr">
        <is>
          <t>Scenario comparison</t>
        </is>
      </c>
    </row>
    <row r="3">
      <c r="B3" s="2" t="inlineStr">
        <is>
          <t>Snapshot values written by build_model.py from each scenario; verify_model.py recalculates the workbook per scenario and checks they match  ·  Sample project, placeholder data.</t>
        </is>
      </c>
    </row>
    <row r="5">
      <c r="B5" s="7" t="inlineStr">
        <is>
          <t>Measure</t>
        </is>
      </c>
      <c r="C5" s="7" t="inlineStr">
        <is>
          <t>Base</t>
        </is>
      </c>
      <c r="D5" s="7" t="inlineStr">
        <is>
          <t>Upside</t>
        </is>
      </c>
      <c r="E5" s="7" t="inlineStr">
        <is>
          <t>Downside</t>
        </is>
      </c>
    </row>
    <row r="6">
      <c r="B6" t="inlineStr">
        <is>
          <t>FY27 revenue</t>
        </is>
      </c>
      <c r="C6" s="8" t="n">
        <v>1419939.02</v>
      </c>
      <c r="D6" s="8" t="n">
        <v>1604571.38</v>
      </c>
      <c r="E6" s="8" t="n">
        <v>1174690.8</v>
      </c>
    </row>
    <row r="7">
      <c r="B7" t="inlineStr">
        <is>
          <t>FY28 revenue</t>
        </is>
      </c>
      <c r="C7" s="8" t="n">
        <v>1924485.79</v>
      </c>
      <c r="D7" s="8" t="n">
        <v>2390761.2</v>
      </c>
      <c r="E7" s="8" t="n">
        <v>1290256.34</v>
      </c>
    </row>
    <row r="8">
      <c r="B8" t="inlineStr">
        <is>
          <t>FY27 EBITDA</t>
        </is>
      </c>
      <c r="C8" s="8" t="n">
        <v>164930.26</v>
      </c>
      <c r="D8" s="8" t="n">
        <v>242109.91</v>
      </c>
      <c r="E8" s="8" t="n">
        <v>-1000.51</v>
      </c>
    </row>
    <row r="9">
      <c r="B9" t="inlineStr">
        <is>
          <t>FY28 EBITDA</t>
        </is>
      </c>
      <c r="C9" s="8" t="n">
        <v>447113.7</v>
      </c>
      <c r="D9" s="8" t="n">
        <v>682568.55</v>
      </c>
      <c r="E9" s="8" t="n">
        <v>53266.88</v>
      </c>
    </row>
    <row r="10">
      <c r="B10" t="inlineStr">
        <is>
          <t>FY27 net profit</t>
        </is>
      </c>
      <c r="C10" s="8" t="n">
        <v>85649.05</v>
      </c>
      <c r="D10" s="8" t="n">
        <v>143533.79</v>
      </c>
      <c r="E10" s="8" t="n">
        <v>-52554.53</v>
      </c>
    </row>
    <row r="11">
      <c r="B11" t="inlineStr">
        <is>
          <t>FY28 net profit</t>
        </is>
      </c>
      <c r="C11" s="8" t="n">
        <v>295974.07</v>
      </c>
      <c r="D11" s="8" t="n">
        <v>472565.21</v>
      </c>
      <c r="E11" s="8" t="n">
        <v>-2804.45</v>
      </c>
    </row>
    <row r="12">
      <c r="B12" t="inlineStr">
        <is>
          <t>Cash 30 Jun 2027</t>
        </is>
      </c>
      <c r="C12" s="8" t="n">
        <v>55449.73</v>
      </c>
      <c r="D12" s="8" t="n">
        <v>104467.13</v>
      </c>
      <c r="E12" s="8" t="n">
        <v>-122149.66</v>
      </c>
    </row>
    <row r="13">
      <c r="B13" t="inlineStr">
        <is>
          <t>Cash 30 Jun 2028</t>
        </is>
      </c>
      <c r="C13" s="8" t="n">
        <v>288188.02</v>
      </c>
      <c r="D13" s="8" t="n">
        <v>497243.05</v>
      </c>
      <c r="E13" s="8" t="n">
        <v>-176702.3</v>
      </c>
    </row>
    <row r="14">
      <c r="B14" t="inlineStr">
        <is>
          <t>Lowest month-end cash</t>
        </is>
      </c>
      <c r="C14" s="8" t="n">
        <v>18369.44</v>
      </c>
      <c r="D14" s="8" t="n">
        <v>27577.76</v>
      </c>
      <c r="E14" s="8" t="n">
        <v>-176702.3</v>
      </c>
    </row>
    <row r="15">
      <c r="B15" t="inlineStr">
        <is>
          <t>Lowest 13-week cash</t>
        </is>
      </c>
      <c r="C15" s="8" t="n">
        <v>20567.69</v>
      </c>
      <c r="D15" s="8" t="n">
        <v>21132.62</v>
      </c>
      <c r="E15" s="8" t="n">
        <v>-25003.18</v>
      </c>
    </row>
    <row r="16">
      <c r="B16" t="inlineStr">
        <is>
          <t>Weeks below buffer</t>
        </is>
      </c>
      <c r="C16" s="11" t="n">
        <v>1</v>
      </c>
      <c r="D16" s="11" t="n">
        <v>1</v>
      </c>
      <c r="E16" s="11" t="n">
        <v>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0B2545"/>
    <outlinePr summaryBelow="1" summaryRight="1"/>
    <pageSetUpPr/>
  </sheetPr>
  <dimension ref="B2:D16"/>
  <sheetViews>
    <sheetView showGridLines="0" workbookViewId="0">
      <selection activeCell="A1" sqref="A1"/>
    </sheetView>
  </sheetViews>
  <sheetFormatPr baseColWidth="8" defaultRowHeight="15"/>
  <cols>
    <col width="60" customWidth="1" min="3" max="3"/>
    <col width="10" customWidth="1" min="4" max="4"/>
  </cols>
  <sheetData>
    <row r="2">
      <c r="B2" s="1" t="inlineStr">
        <is>
          <t>Integrity checks</t>
        </is>
      </c>
    </row>
    <row r="3">
      <c r="B3" s="2" t="inlineStr">
        <is>
          <t>Every check must read PASS  ·  Sample project, placeholder data.</t>
        </is>
      </c>
    </row>
    <row r="5">
      <c r="B5" s="7" t="inlineStr">
        <is>
          <t>#</t>
        </is>
      </c>
      <c r="C5" s="7" t="inlineStr">
        <is>
          <t>Check</t>
        </is>
      </c>
      <c r="D5" s="7" t="inlineStr">
        <is>
          <t>Result</t>
        </is>
      </c>
    </row>
    <row r="6">
      <c r="B6" t="n">
        <v>1</v>
      </c>
      <c r="C6" t="inlineStr">
        <is>
          <t>Scenario selector is valid</t>
        </is>
      </c>
      <c r="D6" s="3" t="str">
        <f>IF(ISNUMBER(Assumptions!D4),"PASS","FAIL")</f>
        <v>PASS</v>
      </c>
    </row>
    <row r="7">
      <c r="B7" t="n">
        <v>2</v>
      </c>
      <c r="C7" t="inlineStr">
        <is>
          <t>Opening balance sheet balances</t>
        </is>
      </c>
      <c r="D7" s="3" t="str">
        <f>IF(ABS(Assumptions!$D$54)&lt;0.01,"PASS","FAIL")</f>
        <v>PASS</v>
      </c>
    </row>
    <row r="8">
      <c r="B8" t="n">
        <v>3</v>
      </c>
      <c r="C8" t="inlineStr">
        <is>
          <t>Balance sheet balances in all 24 months</t>
        </is>
      </c>
      <c r="D8" s="3" t="str">
        <f>IF(SUMPRODUCT(ABS('Balance Sheet'!D22:AA22))&lt;0.01,"PASS","FAIL")</f>
        <v>PASS</v>
      </c>
    </row>
    <row r="9">
      <c r="B9" t="n">
        <v>4</v>
      </c>
      <c r="C9" t="inlineStr">
        <is>
          <t>Cash-flow closing cash = balance-sheet cash, every month</t>
        </is>
      </c>
      <c r="D9" s="3" t="str">
        <f>IF(SUMPRODUCT(ABS('Cash Flow'!D25:AA25-'Balance Sheet'!D7:AA7))&lt;0.01,"PASS","FAIL")</f>
        <v>PASS</v>
      </c>
    </row>
    <row r="10">
      <c r="B10" t="n">
        <v>5</v>
      </c>
      <c r="C10" t="inlineStr">
        <is>
          <t>Retained earnings roll-forward ties</t>
        </is>
      </c>
      <c r="D10" s="3" t="str">
        <f>IF(ABS('Balance Sheet'!AA19-('Balance Sheet'!C19+SUM('P&amp;L'!D33:AA33)+SUM('Cash Flow'!D20:AA20)))&lt;0.01,"PASS","FAIL")</f>
        <v>PASS</v>
      </c>
    </row>
    <row r="11">
      <c r="B11" t="n">
        <v>6</v>
      </c>
      <c r="C11" t="inlineStr">
        <is>
          <t>Plant &amp; equipment roll-forward ties</t>
        </is>
      </c>
      <c r="D11" s="3" t="str">
        <f>IF(ABS('Balance Sheet'!AA10-('Balance Sheet'!C10-SUM('Cash Flow'!D15:AA15)+SUM('P&amp;L'!D28:AA28)))&lt;0.01,"PASS","FAIL")</f>
        <v>PASS</v>
      </c>
    </row>
    <row r="12">
      <c r="B12" t="n">
        <v>7</v>
      </c>
      <c r="C12" t="inlineStr">
        <is>
          <t>Loan roll-forward ties</t>
        </is>
      </c>
      <c r="D12" s="3" t="str">
        <f>IF(ABS('Balance Sheet'!AA15-('Balance Sheet'!C15+SUM('Cash Flow'!D18:AA19)))&lt;0.01,"PASS","FAIL")</f>
        <v>PASS</v>
      </c>
    </row>
    <row r="13">
      <c r="B13" t="n">
        <v>8</v>
      </c>
      <c r="C13" t="inlineStr">
        <is>
          <t>Revenue = wholesale + online, every month</t>
        </is>
      </c>
      <c r="D13" s="3" t="str">
        <f>IF(SUMPRODUCT(ABS('P&amp;L'!D15:AA15-'P&amp;L'!D13:AA13-'P&amp;L'!D14:AA14))&lt;0.01,"PASS","FAIL")</f>
        <v>PASS</v>
      </c>
    </row>
    <row r="14">
      <c r="B14" t="n">
        <v>9</v>
      </c>
      <c r="C14" t="inlineStr">
        <is>
          <t>13-week closing = opening + net cash flow</t>
        </is>
      </c>
      <c r="D14" s="3" t="str">
        <f>IF(ABS('13-Week Cash'!P34-('13-Week Cash'!D33+SUM('13-Week Cash'!D32:P32)))&lt;0.01,"PASS","FAIL")</f>
        <v>PASS</v>
      </c>
    </row>
    <row r="15">
      <c r="B15" t="n">
        <v>10</v>
      </c>
      <c r="C15" t="inlineStr">
        <is>
          <t>No error cells in statements or 13-week</t>
        </is>
      </c>
      <c r="D15" s="3" t="str">
        <f>IF(SUMPRODUCT(ISERROR('P&amp;L'!D8:AC33)*1)+SUMPRODUCT(ISERROR('Balance Sheet'!C7:AA22)*1)+SUMPRODUCT(ISERROR('Cash Flow'!D7:AA25)*1)+SUMPRODUCT(ISERROR('13-Week Cash'!D5:Q37)*1)=0,"PASS","FAIL")</f>
        <v>PASS</v>
      </c>
    </row>
    <row r="16">
      <c r="B16" t="inlineStr">
        <is>
          <t>Overall</t>
        </is>
      </c>
      <c r="C16" s="5" t="str">
        <f>IF(COUNTIF(D6:D15,"PASS")=10,"ALL 10 CHECKS PASS","CHECK FAILED")</f>
        <v>ALL 10 CHECKS PASS</v>
      </c>
    </row>
  </sheetData>
  <conditionalFormatting sqref="D6:D15">
    <cfRule type="cellIs" priority="1" operator="equal" dxfId="1">
      <formula>"PASS"</formula>
    </cfRule>
    <cfRule type="cellIs" priority="2" operator="equal" dxfId="0">
      <formula>"FAIL"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2026-10-27T05:18:51Z</dcterms:created>
  <dcterms:modified xmlns:dcterms="http://purl.org/dc/terms/" xmlns:xsi="http://www.w3.org/2001/XMLSchema-instance" xsi:type="dcterms:W3CDTF">2026-10-27T05:18:51Z</dcterms:modified>
</cp:coreProperties>
</file>