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drawings/drawing1.xml" ContentType="application/vnd.openxmlformats-officedocument.drawing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Timesheets" sheetId="2" state="visible" r:id="rId2"/>
    <sheet xmlns:r="http://schemas.openxmlformats.org/officeDocument/2006/relationships" name="Settings" sheetId="3" state="visible" r:id="rId3"/>
    <sheet xmlns:r="http://schemas.openxmlformats.org/officeDocument/2006/relationships" name="Pay run" sheetId="4" state="visible" r:id="rId4"/>
    <sheet xmlns:r="http://schemas.openxmlformats.org/officeDocument/2006/relationships" name="Checks" sheetId="5" state="visible" r:id="rId5"/>
  </sheets>
  <definedNames>
    <definedName name="OrdHours">Settings!$B$3</definedName>
    <definedName name="OTRate">Settings!$B$4</definedName>
    <definedName name="SatRate">Settings!$B$5</definedName>
    <definedName name="SunRate">Settings!$B$6</definedName>
    <definedName name="PHRate">Settings!$B$7</definedName>
    <definedName name="SuperRate">Settings!$B$8</definedName>
    <definedName name="MaxShift">Settings!$B$9</definedName>
    <definedName name="MinBreak">Settings!$B$10</definedName>
    <definedName name="Holidays">Settings!$A$13:$A$20</definedName>
    <definedName name="StaffNames">Settings!$D$4:$D$11</definedName>
    <definedName name="StaffRates">Settings!$F$4:$F$11</definedName>
  </definedNames>
  <calcPr calcId="124519" fullCalcOnLoad="1"/>
</workbook>
</file>

<file path=xl/styles.xml><?xml version="1.0" encoding="utf-8"?>
<styleSheet xmlns="http://schemas.openxmlformats.org/spreadsheetml/2006/main">
  <numFmts count="8">
    <numFmt numFmtId="164" formatCode="0.0%"/>
    <numFmt numFmtId="165" formatCode="yyyy-mm-dd"/>
    <numFmt numFmtId="166" formatCode="ddd d mmm yyyy"/>
    <numFmt numFmtId="167" formatCode="$0.00"/>
    <numFmt numFmtId="168" formatCode="ddd dd/mm/yy"/>
    <numFmt numFmtId="169" formatCode="hh:mm"/>
    <numFmt numFmtId="170" formatCode="dd/mm/yy"/>
    <numFmt numFmtId="171" formatCode="$#,##0.00"/>
  </numFmts>
  <fonts count="8">
    <font>
      <name val="Calibri"/>
      <family val="2"/>
      <color theme="1"/>
      <sz val="11"/>
      <scheme val="minor"/>
    </font>
    <font>
      <b val="1"/>
      <color rgb="000B2545"/>
      <sz val="14"/>
    </font>
    <font>
      <b val="1"/>
      <color rgb="000B2545"/>
    </font>
    <font>
      <b val="1"/>
      <color rgb="00FFFFFF"/>
    </font>
    <font>
      <i val="1"/>
      <color rgb="009B2C2C"/>
    </font>
    <font>
      <b val="1"/>
    </font>
    <font>
      <b val="1"/>
      <color rgb="000B2545"/>
      <sz val="15"/>
    </font>
    <font>
      <i val="1"/>
      <color rgb="001A7F86"/>
    </font>
  </fonts>
  <fills count="4">
    <fill>
      <patternFill/>
    </fill>
    <fill>
      <patternFill patternType="gray125"/>
    </fill>
    <fill>
      <patternFill patternType="solid">
        <fgColor rgb="00FFF4D6"/>
      </patternFill>
    </fill>
    <fill>
      <patternFill patternType="solid">
        <fgColor rgb="000B2545"/>
      </patternFill>
    </fill>
  </fills>
  <borders count="2">
    <border>
      <left/>
      <right/>
      <top/>
      <bottom/>
      <diagonal/>
    </border>
    <border>
      <top style="medium">
        <color rgb="000B2545"/>
      </top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3" fillId="3" borderId="0" applyAlignment="1" pivotButton="0" quotePrefix="0" xfId="0">
      <alignment horizontal="center" vertical="center" wrapText="1"/>
    </xf>
    <xf numFmtId="168" fontId="0" fillId="2" borderId="0" pivotButton="0" quotePrefix="0" xfId="0"/>
    <xf numFmtId="170" fontId="0" fillId="0" borderId="0" pivotButton="0" quotePrefix="0" xfId="0"/>
    <xf numFmtId="0" fontId="0" fillId="2" borderId="0" pivotButton="0" quotePrefix="0" xfId="0"/>
    <xf numFmtId="169" fontId="0" fillId="2" borderId="0" pivotButton="0" quotePrefix="0" xfId="0"/>
    <xf numFmtId="2" fontId="0" fillId="0" borderId="0" pivotButton="0" quotePrefix="0" xfId="0"/>
    <xf numFmtId="171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3" borderId="0" pivotButton="0" quotePrefix="0" xfId="0"/>
    <xf numFmtId="167" fontId="0" fillId="2" borderId="0" pivotButton="0" quotePrefix="0" xfId="0"/>
    <xf numFmtId="164" fontId="0" fillId="2" borderId="0" pivotButton="0" quotePrefix="0" xfId="0"/>
    <xf numFmtId="166" fontId="0" fillId="2" borderId="0" pivotButton="0" quotePrefix="0" xfId="0"/>
    <xf numFmtId="0" fontId="4" fillId="0" borderId="0" pivotButton="0" quotePrefix="0" xfId="0"/>
    <xf numFmtId="0" fontId="3" fillId="3" borderId="0" applyAlignment="1" pivotButton="0" quotePrefix="0" xfId="0">
      <alignment horizontal="center"/>
    </xf>
    <xf numFmtId="0" fontId="5" fillId="0" borderId="1" pivotButton="0" quotePrefix="0" xfId="0"/>
    <xf numFmtId="2" fontId="5" fillId="0" borderId="1" pivotButton="0" quotePrefix="0" xfId="0"/>
    <xf numFmtId="171" fontId="5" fillId="0" borderId="1" pivotButton="0" quotePrefix="0" xfId="0"/>
  </cellXfs>
  <cellStyles count="1">
    <cellStyle name="Normal" xfId="0" builtinId="0" hidden="0"/>
  </cellStyles>
  <dxfs count="3">
    <dxf>
      <font>
        <b val="1"/>
        <color rgb="009B2C2C"/>
      </font>
      <fill>
        <patternFill patternType="solid">
          <fgColor rgb="00F9E3E1"/>
        </patternFill>
      </fill>
    </dxf>
    <dxf>
      <fill>
        <patternFill patternType="solid">
          <fgColor rgb="00FBF0D9"/>
        </patternFill>
      </fill>
    </dxf>
    <dxf>
      <fill>
        <patternFill patternType="solid">
          <fgColor rgb="00F9E3E1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Hours by type (selected fortnight)</a:t>
            </a:r>
          </a:p>
        </rich>
      </tx>
    </title>
    <plotArea>
      <barChart>
        <barDir val="bar"/>
        <grouping val="stacked"/>
        <ser>
          <idx val="0"/>
          <order val="0"/>
          <tx>
            <strRef>
              <f>'Pay run'!D4</f>
            </strRef>
          </tx>
          <spPr>
            <a:solidFill xmlns:a="http://schemas.openxmlformats.org/drawingml/2006/main">
              <a:srgbClr val="0B2545"/>
            </a:solidFill>
            <a:ln xmlns:a="http://schemas.openxmlformats.org/drawingml/2006/main">
              <a:prstDash val="solid"/>
            </a:ln>
          </spPr>
          <cat>
            <numRef>
              <f>'Pay run'!$A$5:$A$12</f>
            </numRef>
          </cat>
          <val>
            <numRef>
              <f>'Pay run'!$D$5:$D$12</f>
            </numRef>
          </val>
        </ser>
        <ser>
          <idx val="1"/>
          <order val="1"/>
          <tx>
            <strRef>
              <f>'Pay run'!E4</f>
            </strRef>
          </tx>
          <spPr>
            <a:solidFill xmlns:a="http://schemas.openxmlformats.org/drawingml/2006/main">
              <a:srgbClr val="E0A526"/>
            </a:solidFill>
            <a:ln xmlns:a="http://schemas.openxmlformats.org/drawingml/2006/main">
              <a:prstDash val="solid"/>
            </a:ln>
          </spPr>
          <cat>
            <numRef>
              <f>'Pay run'!$A$5:$A$12</f>
            </numRef>
          </cat>
          <val>
            <numRef>
              <f>'Pay run'!$E$5:$E$12</f>
            </numRef>
          </val>
        </ser>
        <gapWidth val="150"/>
        <overlap val="10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13</col>
      <colOff>0</colOff>
      <row>3</row>
      <rowOff>0</rowOff>
    </from>
    <ext cx="648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ables/table1.xml><?xml version="1.0" encoding="utf-8"?>
<table xmlns="http://schemas.openxmlformats.org/spreadsheetml/2006/main" id="1" name="tblShifts" displayName="tblShifts" ref="A1:R149" headerRowCount="1">
  <autoFilter ref="A1:R149"/>
  <tableColumns count="18">
    <tableColumn id="1" name="Date"/>
    <tableColumn id="2" name="Week starting"/>
    <tableColumn id="3" name="Employee"/>
    <tableColumn id="4" name="Start"/>
    <tableColumn id="5" name="Finish"/>
    <tableColumn id="6" name="Break (min)"/>
    <tableColumn id="7" name="Day type"/>
    <tableColumn id="8" name="Hours worked"/>
    <tableColumn id="9" name="Hours toward weekly limit"/>
    <tableColumn id="10" name="Earlier hours this week"/>
    <tableColumn id="11" name="Ordinary hours"/>
    <tableColumn id="12" name="Overtime hours"/>
    <tableColumn id="13" name="Sunday hours"/>
    <tableColumn id="14" name="Public holiday hours"/>
    <tableColumn id="15" name="Base rate"/>
    <tableColumn id="16" name="Gross pay"/>
    <tableColumn id="17" name="Overtime pay"/>
    <tableColumn id="18" name="Flags"/>
  </tableColumns>
  <tableStyleInfo name="TableStyleLight9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4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8"/>
  <sheetViews>
    <sheetView workbookViewId="0">
      <selection activeCell="A1" sqref="A1"/>
    </sheetView>
  </sheetViews>
  <sheetFormatPr baseColWidth="8" defaultRowHeight="15"/>
  <cols>
    <col width="150" customWidth="1" min="1" max="1"/>
  </cols>
  <sheetData>
    <row r="1">
      <c r="A1" s="1" t="inlineStr">
        <is>
          <t>Timesheet &amp; Overtime Pay Calculator: Corella Bakehouse </t>
        </is>
      </c>
    </row>
    <row r="2">
      <c r="A2" s="2" t="inlineStr">
        <is>
          <t>Sample project, placeholder data. Rates are sample settings, not award or legal advice.</t>
        </is>
      </c>
    </row>
    <row r="3">
      <c r="A3" t="inlineStr"/>
    </row>
    <row r="4">
      <c r="A4" t="inlineStr">
        <is>
          <t>How to use: enter shifts on Timesheets (yellow columns: date, employee from the drop-down, start, finish, unpaid break). Every other column is a formula.</t>
        </is>
      </c>
    </row>
    <row r="5">
      <c r="A5" t="inlineStr">
        <is>
          <t>Overnight shifts work (finish after midnight). Hours over the weekly limit (Mon-Sat, in date order) become overtime; Sunday and public holiday hours are paid at their own rates.</t>
        </is>
      </c>
    </row>
    <row r="6">
      <c r="A6" t="inlineStr">
        <is>
          <t>Pay run: pick the fortnight start date in B2 and every total, the super estimate and the chart update.</t>
        </is>
      </c>
    </row>
    <row r="7">
      <c r="A7" t="inlineStr">
        <is>
          <t>Flags column catches missing finish times, shifts over the limit and short breaks before pay day. Checks tab confirms the hour buckets and totals reconcile.</t>
        </is>
      </c>
    </row>
    <row r="8">
      <c r="A8" t="inlineStr">
        <is>
          <t>Settings: weekly limit, rates, super %, public holidays and staff base rates are all editable.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49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1" customWidth="1" min="2" max="2"/>
    <col width="16" customWidth="1" min="3" max="3"/>
    <col width="8" customWidth="1" min="4" max="4"/>
    <col width="8" customWidth="1" min="5" max="5"/>
    <col width="8" customWidth="1" min="6" max="6"/>
    <col width="14" customWidth="1" min="7" max="7"/>
    <col width="9" customWidth="1" min="8" max="8"/>
    <col width="10" customWidth="1" min="9" max="9"/>
    <col width="10" customWidth="1" min="10" max="10"/>
    <col width="10" customWidth="1" min="11" max="11"/>
    <col width="10" customWidth="1" min="12" max="12"/>
    <col width="9" customWidth="1" min="13" max="13"/>
    <col width="10" customWidth="1" min="14" max="14"/>
    <col width="9" customWidth="1" min="15" max="15"/>
    <col width="11" customWidth="1" min="16" max="16"/>
    <col width="10" customWidth="1" min="17" max="17"/>
    <col width="22" customWidth="1" min="18" max="18"/>
  </cols>
  <sheetData>
    <row r="1" ht="44" customHeight="1">
      <c r="A1" s="3" t="inlineStr">
        <is>
          <t>Date</t>
        </is>
      </c>
      <c r="B1" s="3" t="inlineStr">
        <is>
          <t>Week starting</t>
        </is>
      </c>
      <c r="C1" s="3" t="inlineStr">
        <is>
          <t>Employee</t>
        </is>
      </c>
      <c r="D1" s="3" t="inlineStr">
        <is>
          <t>Start</t>
        </is>
      </c>
      <c r="E1" s="3" t="inlineStr">
        <is>
          <t>Finish</t>
        </is>
      </c>
      <c r="F1" s="3" t="inlineStr">
        <is>
          <t>Break (min)</t>
        </is>
      </c>
      <c r="G1" s="3" t="inlineStr">
        <is>
          <t>Day type</t>
        </is>
      </c>
      <c r="H1" s="3" t="inlineStr">
        <is>
          <t>Hours worked</t>
        </is>
      </c>
      <c r="I1" s="3" t="inlineStr">
        <is>
          <t>Hours toward weekly limit</t>
        </is>
      </c>
      <c r="J1" s="3" t="inlineStr">
        <is>
          <t>Earlier hours this week</t>
        </is>
      </c>
      <c r="K1" s="3" t="inlineStr">
        <is>
          <t>Ordinary hours</t>
        </is>
      </c>
      <c r="L1" s="3" t="inlineStr">
        <is>
          <t>Overtime hours</t>
        </is>
      </c>
      <c r="M1" s="3" t="inlineStr">
        <is>
          <t>Sunday hours</t>
        </is>
      </c>
      <c r="N1" s="3" t="inlineStr">
        <is>
          <t>Public holiday hours</t>
        </is>
      </c>
      <c r="O1" s="3" t="inlineStr">
        <is>
          <t>Base rate</t>
        </is>
      </c>
      <c r="P1" s="3" t="inlineStr">
        <is>
          <t>Gross pay</t>
        </is>
      </c>
      <c r="Q1" s="3" t="inlineStr">
        <is>
          <t>Overtime pay</t>
        </is>
      </c>
      <c r="R1" s="3" t="inlineStr">
        <is>
          <t>Flags</t>
        </is>
      </c>
    </row>
    <row r="2">
      <c r="A2" s="4" t="n">
        <v>46321</v>
      </c>
      <c r="B2" s="5">
        <f>A2-WEEKDAY(A2,3)</f>
        <v>46321.0</v>
      </c>
      <c r="C2" s="6" t="inlineStr">
        <is>
          <t>Ben Okafor</t>
        </is>
      </c>
      <c r="D2" s="7" t="n">
        <v>0.1666666666666667</v>
      </c>
      <c r="E2" s="7" t="n">
        <v>0.5208333333333334</v>
      </c>
      <c r="F2" s="6" t="n">
        <v>30</v>
      </c>
      <c r="G2" t="str">
        <f>IF(COUNTIF(Holidays,A2)&gt;0,"Public holiday",IF(WEEKDAY(A2,2)=7,"Sunday",IF(WEEKDAY(A2,2)=6,"Saturday","Weekday")))</f>
        <v>Weekday</v>
      </c>
      <c r="H2" s="8">
        <f>IF(OR(D2="",E2=""),0,ROUND(MOD(E2-D2,1)*24-F2/60,2))</f>
        <v>8</v>
      </c>
      <c r="I2" s="8">
        <f>IF(OR(G2="Sunday",G2="Public holiday"),0,H2)</f>
        <v>8</v>
      </c>
      <c r="J2" s="8">
        <f>SUMIFS($I$2:$I$149,$C$2:$C$149,C2,$B$2:$B$149,B2,$A$2:$A$149,"&lt;"&amp;A2)</f>
        <v>0</v>
      </c>
      <c r="K2" s="8">
        <f>MAX(0,MIN(I2,OrdHours-J2))</f>
        <v>8</v>
      </c>
      <c r="L2" s="8">
        <f>I2-K2</f>
        <v>0</v>
      </c>
      <c r="M2" s="8">
        <f>IF(G2="Sunday",H2,0)</f>
        <v>0</v>
      </c>
      <c r="N2" s="8">
        <f>IF(G2="Public holiday",H2,0)</f>
        <v>0</v>
      </c>
      <c r="O2" s="9">
        <f>INDEX(StaffRates,MATCH(C2,StaffNames,0))</f>
        <v>33.1</v>
      </c>
      <c r="P2" s="9">
        <f>ROUND(O2*(K2*IF(G2="Saturday",SatRate,1)+L2*OTRate+M2*SunRate+N2*PHRate),2)</f>
        <v>264.8</v>
      </c>
      <c r="Q2" s="9">
        <f>ROUND(O2*L2*OTRate,2)</f>
        <v>0</v>
      </c>
      <c r="R2">
        <f>TRIM(IF(E2="","No finish time ","")&amp;IF(H2&gt;MaxShift,"Shift over limit ","")&amp;IF(AND(H2&gt;5,F2&lt;MinBreak),"Short break ",""))</f>
      </c>
    </row>
    <row r="3">
      <c r="A3" s="4" t="n">
        <v>46321</v>
      </c>
      <c r="B3" s="5">
        <f>A3-WEEKDAY(A3,3)</f>
        <v>46321.0</v>
      </c>
      <c r="C3" s="6" t="inlineStr">
        <is>
          <t>Cara Delmonte</t>
        </is>
      </c>
      <c r="D3" s="7" t="n">
        <v>0.2083333333333333</v>
      </c>
      <c r="E3" s="7" t="n">
        <v>0.625</v>
      </c>
      <c r="F3" s="6" t="n">
        <v>30</v>
      </c>
      <c r="G3" t="str">
        <f>IF(COUNTIF(Holidays,A3)&gt;0,"Public holiday",IF(WEEKDAY(A3,2)=7,"Sunday",IF(WEEKDAY(A3,2)=6,"Saturday","Weekday")))</f>
        <v>Weekday</v>
      </c>
      <c r="H3" s="8">
        <f>IF(OR(D3="",E3=""),0,ROUND(MOD(E3-D3,1)*24-F3/60,2))</f>
        <v>9.5</v>
      </c>
      <c r="I3" s="8">
        <f>IF(OR(G3="Sunday",G3="Public holiday"),0,H3)</f>
        <v>9.5</v>
      </c>
      <c r="J3" s="8">
        <f>SUMIFS($I$2:$I$149,$C$2:$C$149,C3,$B$2:$B$149,B3,$A$2:$A$149,"&lt;"&amp;A3)</f>
        <v>0</v>
      </c>
      <c r="K3" s="8">
        <f>MAX(0,MIN(I3,OrdHours-J3))</f>
        <v>9.5</v>
      </c>
      <c r="L3" s="8">
        <f>I3-K3</f>
        <v>0</v>
      </c>
      <c r="M3" s="8">
        <f>IF(G3="Sunday",H3,0)</f>
        <v>0</v>
      </c>
      <c r="N3" s="8">
        <f>IF(G3="Public holiday",H3,0)</f>
        <v>0</v>
      </c>
      <c r="O3" s="9">
        <f>INDEX(StaffRates,MATCH(C3,StaffNames,0))</f>
        <v>36.2</v>
      </c>
      <c r="P3" s="9">
        <f>ROUND(O3*(K3*IF(G3="Saturday",SatRate,1)+L3*OTRate+M3*SunRate+N3*PHRate),2)</f>
        <v>343.9</v>
      </c>
      <c r="Q3" s="9">
        <f>ROUND(O3*L3*OTRate,2)</f>
        <v>0</v>
      </c>
      <c r="R3">
        <f>TRIM(IF(E3="","No finish time ","")&amp;IF(H3&gt;MaxShift,"Shift over limit ","")&amp;IF(AND(H3&gt;5,F3&lt;MinBreak),"Short break ",""))</f>
      </c>
    </row>
    <row r="4">
      <c r="A4" s="4" t="n">
        <v>46321</v>
      </c>
      <c r="B4" s="5">
        <f>A4-WEEKDAY(A4,3)</f>
        <v>46321.0</v>
      </c>
      <c r="C4" s="6" t="inlineStr">
        <is>
          <t>Esme Rowe</t>
        </is>
      </c>
      <c r="D4" s="7" t="n">
        <v>0.3125</v>
      </c>
      <c r="E4" s="7" t="n">
        <v>0.5625</v>
      </c>
      <c r="F4" s="6" t="n">
        <v>30</v>
      </c>
      <c r="G4" t="str">
        <f>IF(COUNTIF(Holidays,A4)&gt;0,"Public holiday",IF(WEEKDAY(A4,2)=7,"Sunday",IF(WEEKDAY(A4,2)=6,"Saturday","Weekday")))</f>
        <v>Weekday</v>
      </c>
      <c r="H4" s="8">
        <f>IF(OR(D4="",E4=""),0,ROUND(MOD(E4-D4,1)*24-F4/60,2))</f>
        <v>5.5</v>
      </c>
      <c r="I4" s="8">
        <f>IF(OR(G4="Sunday",G4="Public holiday"),0,H4)</f>
        <v>5.5</v>
      </c>
      <c r="J4" s="8">
        <f>SUMIFS($I$2:$I$149,$C$2:$C$149,C4,$B$2:$B$149,B4,$A$2:$A$149,"&lt;"&amp;A4)</f>
        <v>0</v>
      </c>
      <c r="K4" s="8">
        <f>MAX(0,MIN(I4,OrdHours-J4))</f>
        <v>5.5</v>
      </c>
      <c r="L4" s="8">
        <f>I4-K4</f>
        <v>0</v>
      </c>
      <c r="M4" s="8">
        <f>IF(G4="Sunday",H4,0)</f>
        <v>0</v>
      </c>
      <c r="N4" s="8">
        <f>IF(G4="Public holiday",H4,0)</f>
        <v>0</v>
      </c>
      <c r="O4" s="9">
        <f>INDEX(StaffRates,MATCH(C4,StaffNames,0))</f>
        <v>27.9</v>
      </c>
      <c r="P4" s="9">
        <f>ROUND(O4*(K4*IF(G4="Saturday",SatRate,1)+L4*OTRate+M4*SunRate+N4*PHRate),2)</f>
        <v>153.45</v>
      </c>
      <c r="Q4" s="9">
        <f>ROUND(O4*L4*OTRate,2)</f>
        <v>0</v>
      </c>
      <c r="R4">
        <f>TRIM(IF(E4="","No finish time ","")&amp;IF(H4&gt;MaxShift,"Shift over limit ","")&amp;IF(AND(H4&gt;5,F4&lt;MinBreak),"Short break ",""))</f>
      </c>
    </row>
    <row r="5">
      <c r="A5" s="4" t="n">
        <v>46321</v>
      </c>
      <c r="B5" s="5">
        <f>A5-WEEKDAY(A5,3)</f>
        <v>46321.0</v>
      </c>
      <c r="C5" s="6" t="inlineStr">
        <is>
          <t>Felix Nguyen</t>
        </is>
      </c>
      <c r="D5" s="7" t="n">
        <v>0.4791666666666667</v>
      </c>
      <c r="E5" s="7" t="n">
        <v>0.6875</v>
      </c>
      <c r="F5" s="6" t="n">
        <v>0</v>
      </c>
      <c r="G5" t="str">
        <f>IF(COUNTIF(Holidays,A5)&gt;0,"Public holiday",IF(WEEKDAY(A5,2)=7,"Sunday",IF(WEEKDAY(A5,2)=6,"Saturday","Weekday")))</f>
        <v>Weekday</v>
      </c>
      <c r="H5" s="8">
        <f>IF(OR(D5="",E5=""),0,ROUND(MOD(E5-D5,1)*24-F5/60,2))</f>
        <v>5</v>
      </c>
      <c r="I5" s="8">
        <f>IF(OR(G5="Sunday",G5="Public holiday"),0,H5)</f>
        <v>5</v>
      </c>
      <c r="J5" s="8">
        <f>SUMIFS($I$2:$I$149,$C$2:$C$149,C5,$B$2:$B$149,B5,$A$2:$A$149,"&lt;"&amp;A5)</f>
        <v>0</v>
      </c>
      <c r="K5" s="8">
        <f>MAX(0,MIN(I5,OrdHours-J5))</f>
        <v>5</v>
      </c>
      <c r="L5" s="8">
        <f>I5-K5</f>
        <v>0</v>
      </c>
      <c r="M5" s="8">
        <f>IF(G5="Sunday",H5,0)</f>
        <v>0</v>
      </c>
      <c r="N5" s="8">
        <f>IF(G5="Public holiday",H5,0)</f>
        <v>0</v>
      </c>
      <c r="O5" s="9">
        <f>INDEX(StaffRates,MATCH(C5,StaffNames,0))</f>
        <v>27.9</v>
      </c>
      <c r="P5" s="9">
        <f>ROUND(O5*(K5*IF(G5="Saturday",SatRate,1)+L5*OTRate+M5*SunRate+N5*PHRate),2)</f>
        <v>139.5</v>
      </c>
      <c r="Q5" s="9">
        <f>ROUND(O5*L5*OTRate,2)</f>
        <v>0</v>
      </c>
      <c r="R5">
        <f>TRIM(IF(E5="","No finish time ","")&amp;IF(H5&gt;MaxShift,"Shift over limit ","")&amp;IF(AND(H5&gt;5,F5&lt;MinBreak),"Short break ",""))</f>
      </c>
    </row>
    <row r="6">
      <c r="A6" s="4" t="n">
        <v>46321</v>
      </c>
      <c r="B6" s="5">
        <f>A6-WEEKDAY(A6,3)</f>
        <v>46321.0</v>
      </c>
      <c r="C6" s="6" t="inlineStr">
        <is>
          <t>Gia Marchant</t>
        </is>
      </c>
      <c r="D6" s="7" t="n">
        <v>0.3333333333333333</v>
      </c>
      <c r="E6" s="7" t="n">
        <v>0.7083333333333334</v>
      </c>
      <c r="F6" s="6" t="n">
        <v>30</v>
      </c>
      <c r="G6" t="str">
        <f>IF(COUNTIF(Holidays,A6)&gt;0,"Public holiday",IF(WEEKDAY(A6,2)=7,"Sunday",IF(WEEKDAY(A6,2)=6,"Saturday","Weekday")))</f>
        <v>Weekday</v>
      </c>
      <c r="H6" s="8">
        <f>IF(OR(D6="",E6=""),0,ROUND(MOD(E6-D6,1)*24-F6/60,2))</f>
        <v>8.5</v>
      </c>
      <c r="I6" s="8">
        <f>IF(OR(G6="Sunday",G6="Public holiday"),0,H6)</f>
        <v>8.5</v>
      </c>
      <c r="J6" s="8">
        <f>SUMIFS($I$2:$I$149,$C$2:$C$149,C6,$B$2:$B$149,B6,$A$2:$A$149,"&lt;"&amp;A6)</f>
        <v>0</v>
      </c>
      <c r="K6" s="8">
        <f>MAX(0,MIN(I6,OrdHours-J6))</f>
        <v>8.5</v>
      </c>
      <c r="L6" s="8">
        <f>I6-K6</f>
        <v>0</v>
      </c>
      <c r="M6" s="8">
        <f>IF(G6="Sunday",H6,0)</f>
        <v>0</v>
      </c>
      <c r="N6" s="8">
        <f>IF(G6="Public holiday",H6,0)</f>
        <v>0</v>
      </c>
      <c r="O6" s="9">
        <f>INDEX(StaffRates,MATCH(C6,StaffNames,0))</f>
        <v>29.6</v>
      </c>
      <c r="P6" s="9">
        <f>ROUND(O6*(K6*IF(G6="Saturday",SatRate,1)+L6*OTRate+M6*SunRate+N6*PHRate),2)</f>
        <v>251.6</v>
      </c>
      <c r="Q6" s="9">
        <f>ROUND(O6*L6*OTRate,2)</f>
        <v>0</v>
      </c>
      <c r="R6">
        <f>TRIM(IF(E6="","No finish time ","")&amp;IF(H6&gt;MaxShift,"Shift over limit ","")&amp;IF(AND(H6&gt;5,F6&lt;MinBreak),"Short break ",""))</f>
      </c>
    </row>
    <row r="7">
      <c r="A7" s="4" t="n">
        <v>46322</v>
      </c>
      <c r="B7" s="5">
        <f>A7-WEEKDAY(A7,3)</f>
        <v>46321.0</v>
      </c>
      <c r="C7" s="6" t="inlineStr">
        <is>
          <t>Ava Kingsley</t>
        </is>
      </c>
      <c r="D7" s="7" t="n">
        <v>0.2708333333333333</v>
      </c>
      <c r="E7" s="7" t="n">
        <v>0.6666666666666666</v>
      </c>
      <c r="F7" s="6" t="n">
        <v>30</v>
      </c>
      <c r="G7" t="str">
        <f>IF(COUNTIF(Holidays,A7)&gt;0,"Public holiday",IF(WEEKDAY(A7,2)=7,"Sunday",IF(WEEKDAY(A7,2)=6,"Saturday","Weekday")))</f>
        <v>Weekday</v>
      </c>
      <c r="H7" s="8">
        <f>IF(OR(D7="",E7=""),0,ROUND(MOD(E7-D7,1)*24-F7/60,2))</f>
        <v>9</v>
      </c>
      <c r="I7" s="8">
        <f>IF(OR(G7="Sunday",G7="Public holiday"),0,H7)</f>
        <v>9</v>
      </c>
      <c r="J7" s="8">
        <f>SUMIFS($I$2:$I$149,$C$2:$C$149,C7,$B$2:$B$149,B7,$A$2:$A$149,"&lt;"&amp;A7)</f>
        <v>0</v>
      </c>
      <c r="K7" s="8">
        <f>MAX(0,MIN(I7,OrdHours-J7))</f>
        <v>9</v>
      </c>
      <c r="L7" s="8">
        <f>I7-K7</f>
        <v>0</v>
      </c>
      <c r="M7" s="8">
        <f>IF(G7="Sunday",H7,0)</f>
        <v>0</v>
      </c>
      <c r="N7" s="8">
        <f>IF(G7="Public holiday",H7,0)</f>
        <v>0</v>
      </c>
      <c r="O7" s="9">
        <f>INDEX(StaffRates,MATCH(C7,StaffNames,0))</f>
        <v>34.8</v>
      </c>
      <c r="P7" s="9">
        <f>ROUND(O7*(K7*IF(G7="Saturday",SatRate,1)+L7*OTRate+M7*SunRate+N7*PHRate),2)</f>
        <v>313.2</v>
      </c>
      <c r="Q7" s="9">
        <f>ROUND(O7*L7*OTRate,2)</f>
        <v>0</v>
      </c>
      <c r="R7">
        <f>TRIM(IF(E7="","No finish time ","")&amp;IF(H7&gt;MaxShift,"Shift over limit ","")&amp;IF(AND(H7&gt;5,F7&lt;MinBreak),"Short break ",""))</f>
      </c>
    </row>
    <row r="8">
      <c r="A8" s="4" t="n">
        <v>46322</v>
      </c>
      <c r="B8" s="5">
        <f>A8-WEEKDAY(A8,3)</f>
        <v>46321.0</v>
      </c>
      <c r="C8" s="6" t="inlineStr">
        <is>
          <t>Ben Okafor</t>
        </is>
      </c>
      <c r="D8" s="7" t="n">
        <v>0.1875</v>
      </c>
      <c r="E8" s="7" t="n">
        <v>0.5416666666666666</v>
      </c>
      <c r="F8" s="6" t="n">
        <v>30</v>
      </c>
      <c r="G8" t="str">
        <f>IF(COUNTIF(Holidays,A8)&gt;0,"Public holiday",IF(WEEKDAY(A8,2)=7,"Sunday",IF(WEEKDAY(A8,2)=6,"Saturday","Weekday")))</f>
        <v>Weekday</v>
      </c>
      <c r="H8" s="8">
        <f>IF(OR(D8="",E8=""),0,ROUND(MOD(E8-D8,1)*24-F8/60,2))</f>
        <v>8</v>
      </c>
      <c r="I8" s="8">
        <f>IF(OR(G8="Sunday",G8="Public holiday"),0,H8)</f>
        <v>8</v>
      </c>
      <c r="J8" s="8">
        <f>SUMIFS($I$2:$I$149,$C$2:$C$149,C8,$B$2:$B$149,B8,$A$2:$A$149,"&lt;"&amp;A8)</f>
        <v>8</v>
      </c>
      <c r="K8" s="8">
        <f>MAX(0,MIN(I8,OrdHours-J8))</f>
        <v>8</v>
      </c>
      <c r="L8" s="8">
        <f>I8-K8</f>
        <v>0</v>
      </c>
      <c r="M8" s="8">
        <f>IF(G8="Sunday",H8,0)</f>
        <v>0</v>
      </c>
      <c r="N8" s="8">
        <f>IF(G8="Public holiday",H8,0)</f>
        <v>0</v>
      </c>
      <c r="O8" s="9">
        <f>INDEX(StaffRates,MATCH(C8,StaffNames,0))</f>
        <v>33.1</v>
      </c>
      <c r="P8" s="9">
        <f>ROUND(O8*(K8*IF(G8="Saturday",SatRate,1)+L8*OTRate+M8*SunRate+N8*PHRate),2)</f>
        <v>264.8</v>
      </c>
      <c r="Q8" s="9">
        <f>ROUND(O8*L8*OTRate,2)</f>
        <v>0</v>
      </c>
      <c r="R8">
        <f>TRIM(IF(E8="","No finish time ","")&amp;IF(H8&gt;MaxShift,"Shift over limit ","")&amp;IF(AND(H8&gt;5,F8&lt;MinBreak),"Short break ",""))</f>
      </c>
    </row>
    <row r="9">
      <c r="A9" s="4" t="n">
        <v>46322</v>
      </c>
      <c r="B9" s="5">
        <f>A9-WEEKDAY(A9,3)</f>
        <v>46321.0</v>
      </c>
      <c r="C9" s="6" t="inlineStr">
        <is>
          <t>Cara Delmonte</t>
        </is>
      </c>
      <c r="D9" s="7" t="n">
        <v>0.21875</v>
      </c>
      <c r="E9" s="7" t="n">
        <v>0.5729166666666666</v>
      </c>
      <c r="F9" s="6" t="n">
        <v>30</v>
      </c>
      <c r="G9" t="str">
        <f>IF(COUNTIF(Holidays,A9)&gt;0,"Public holiday",IF(WEEKDAY(A9,2)=7,"Sunday",IF(WEEKDAY(A9,2)=6,"Saturday","Weekday")))</f>
        <v>Weekday</v>
      </c>
      <c r="H9" s="8">
        <f>IF(OR(D9="",E9=""),0,ROUND(MOD(E9-D9,1)*24-F9/60,2))</f>
        <v>8</v>
      </c>
      <c r="I9" s="8">
        <f>IF(OR(G9="Sunday",G9="Public holiday"),0,H9)</f>
        <v>8</v>
      </c>
      <c r="J9" s="8">
        <f>SUMIFS($I$2:$I$149,$C$2:$C$149,C9,$B$2:$B$149,B9,$A$2:$A$149,"&lt;"&amp;A9)</f>
        <v>9.5</v>
      </c>
      <c r="K9" s="8">
        <f>MAX(0,MIN(I9,OrdHours-J9))</f>
        <v>8</v>
      </c>
      <c r="L9" s="8">
        <f>I9-K9</f>
        <v>0</v>
      </c>
      <c r="M9" s="8">
        <f>IF(G9="Sunday",H9,0)</f>
        <v>0</v>
      </c>
      <c r="N9" s="8">
        <f>IF(G9="Public holiday",H9,0)</f>
        <v>0</v>
      </c>
      <c r="O9" s="9">
        <f>INDEX(StaffRates,MATCH(C9,StaffNames,0))</f>
        <v>36.2</v>
      </c>
      <c r="P9" s="9">
        <f>ROUND(O9*(K9*IF(G9="Saturday",SatRate,1)+L9*OTRate+M9*SunRate+N9*PHRate),2)</f>
        <v>289.6</v>
      </c>
      <c r="Q9" s="9">
        <f>ROUND(O9*L9*OTRate,2)</f>
        <v>0</v>
      </c>
      <c r="R9">
        <f>TRIM(IF(E9="","No finish time ","")&amp;IF(H9&gt;MaxShift,"Shift over limit ","")&amp;IF(AND(H9&gt;5,F9&lt;MinBreak),"Short break ",""))</f>
      </c>
    </row>
    <row r="10">
      <c r="A10" s="4" t="n">
        <v>46322</v>
      </c>
      <c r="B10" s="5">
        <f>A10-WEEKDAY(A10,3)</f>
        <v>46321.0</v>
      </c>
      <c r="C10" s="6" t="inlineStr">
        <is>
          <t>Dylan Fraser</t>
        </is>
      </c>
      <c r="D10" s="7" t="n">
        <v>0.2708333333333333</v>
      </c>
      <c r="E10" s="7" t="n">
        <v>0.5208333333333334</v>
      </c>
      <c r="F10" s="6" t="n">
        <v>30</v>
      </c>
      <c r="G10" t="str">
        <f>IF(COUNTIF(Holidays,A10)&gt;0,"Public holiday",IF(WEEKDAY(A10,2)=7,"Sunday",IF(WEEKDAY(A10,2)=6,"Saturday","Weekday")))</f>
        <v>Weekday</v>
      </c>
      <c r="H10" s="8">
        <f>IF(OR(D10="",E10=""),0,ROUND(MOD(E10-D10,1)*24-F10/60,2))</f>
        <v>5.5</v>
      </c>
      <c r="I10" s="8">
        <f>IF(OR(G10="Sunday",G10="Public holiday"),0,H10)</f>
        <v>5.5</v>
      </c>
      <c r="J10" s="8">
        <f>SUMIFS($I$2:$I$149,$C$2:$C$149,C10,$B$2:$B$149,B10,$A$2:$A$149,"&lt;"&amp;A10)</f>
        <v>0</v>
      </c>
      <c r="K10" s="8">
        <f>MAX(0,MIN(I10,OrdHours-J10))</f>
        <v>5.5</v>
      </c>
      <c r="L10" s="8">
        <f>I10-K10</f>
        <v>0</v>
      </c>
      <c r="M10" s="8">
        <f>IF(G10="Sunday",H10,0)</f>
        <v>0</v>
      </c>
      <c r="N10" s="8">
        <f>IF(G10="Public holiday",H10,0)</f>
        <v>0</v>
      </c>
      <c r="O10" s="9">
        <f>INDEX(StaffRates,MATCH(C10,StaffNames,0))</f>
        <v>29.6</v>
      </c>
      <c r="P10" s="9">
        <f>ROUND(O10*(K10*IF(G10="Saturday",SatRate,1)+L10*OTRate+M10*SunRate+N10*PHRate),2)</f>
        <v>162.8</v>
      </c>
      <c r="Q10" s="9">
        <f>ROUND(O10*L10*OTRate,2)</f>
        <v>0</v>
      </c>
      <c r="R10">
        <f>TRIM(IF(E10="","No finish time ","")&amp;IF(H10&gt;MaxShift,"Shift over limit ","")&amp;IF(AND(H10&gt;5,F10&lt;MinBreak),"Short break ",""))</f>
      </c>
    </row>
    <row r="11">
      <c r="A11" s="4" t="n">
        <v>46322</v>
      </c>
      <c r="B11" s="5">
        <f>A11-WEEKDAY(A11,3)</f>
        <v>46321.0</v>
      </c>
      <c r="C11" s="6" t="inlineStr">
        <is>
          <t>Felix Nguyen</t>
        </is>
      </c>
      <c r="D11" s="7" t="n">
        <v>0.4583333333333333</v>
      </c>
      <c r="E11" s="7" t="n">
        <v>0.775</v>
      </c>
      <c r="F11" s="6" t="n">
        <v>30</v>
      </c>
      <c r="G11" t="str">
        <f>IF(COUNTIF(Holidays,A11)&gt;0,"Public holiday",IF(WEEKDAY(A11,2)=7,"Sunday",IF(WEEKDAY(A11,2)=6,"Saturday","Weekday")))</f>
        <v>Weekday</v>
      </c>
      <c r="H11" s="8">
        <f>IF(OR(D11="",E11=""),0,ROUND(MOD(E11-D11,1)*24-F11/60,2))</f>
        <v>7.1</v>
      </c>
      <c r="I11" s="8">
        <f>IF(OR(G11="Sunday",G11="Public holiday"),0,H11)</f>
        <v>7.1</v>
      </c>
      <c r="J11" s="8">
        <f>SUMIFS($I$2:$I$149,$C$2:$C$149,C11,$B$2:$B$149,B11,$A$2:$A$149,"&lt;"&amp;A11)</f>
        <v>5</v>
      </c>
      <c r="K11" s="8">
        <f>MAX(0,MIN(I11,OrdHours-J11))</f>
        <v>7.1</v>
      </c>
      <c r="L11" s="8">
        <f>I11-K11</f>
        <v>0</v>
      </c>
      <c r="M11" s="8">
        <f>IF(G11="Sunday",H11,0)</f>
        <v>0</v>
      </c>
      <c r="N11" s="8">
        <f>IF(G11="Public holiday",H11,0)</f>
        <v>0</v>
      </c>
      <c r="O11" s="9">
        <f>INDEX(StaffRates,MATCH(C11,StaffNames,0))</f>
        <v>27.9</v>
      </c>
      <c r="P11" s="9">
        <f>ROUND(O11*(K11*IF(G11="Saturday",SatRate,1)+L11*OTRate+M11*SunRate+N11*PHRate),2)</f>
        <v>198.09</v>
      </c>
      <c r="Q11" s="9">
        <f>ROUND(O11*L11*OTRate,2)</f>
        <v>0</v>
      </c>
      <c r="R11">
        <f>TRIM(IF(E11="","No finish time ","")&amp;IF(H11&gt;MaxShift,"Shift over limit ","")&amp;IF(AND(H11&gt;5,F11&lt;MinBreak),"Short break ",""))</f>
      </c>
    </row>
    <row r="12">
      <c r="A12" s="4" t="n">
        <v>46322</v>
      </c>
      <c r="B12" s="5">
        <f>A12-WEEKDAY(A12,3)</f>
        <v>46321.0</v>
      </c>
      <c r="C12" s="6" t="inlineStr">
        <is>
          <t>Gia Marchant</t>
        </is>
      </c>
      <c r="D12" s="7" t="n">
        <v>0.2916666666666667</v>
      </c>
      <c r="E12" s="7" t="n">
        <v>0.6666666666666666</v>
      </c>
      <c r="F12" s="6" t="n">
        <v>30</v>
      </c>
      <c r="G12" t="str">
        <f>IF(COUNTIF(Holidays,A12)&gt;0,"Public holiday",IF(WEEKDAY(A12,2)=7,"Sunday",IF(WEEKDAY(A12,2)=6,"Saturday","Weekday")))</f>
        <v>Weekday</v>
      </c>
      <c r="H12" s="8">
        <f>IF(OR(D12="",E12=""),0,ROUND(MOD(E12-D12,1)*24-F12/60,2))</f>
        <v>8.5</v>
      </c>
      <c r="I12" s="8">
        <f>IF(OR(G12="Sunday",G12="Public holiday"),0,H12)</f>
        <v>8.5</v>
      </c>
      <c r="J12" s="8">
        <f>SUMIFS($I$2:$I$149,$C$2:$C$149,C12,$B$2:$B$149,B12,$A$2:$A$149,"&lt;"&amp;A12)</f>
        <v>8.5</v>
      </c>
      <c r="K12" s="8">
        <f>MAX(0,MIN(I12,OrdHours-J12))</f>
        <v>8.5</v>
      </c>
      <c r="L12" s="8">
        <f>I12-K12</f>
        <v>0</v>
      </c>
      <c r="M12" s="8">
        <f>IF(G12="Sunday",H12,0)</f>
        <v>0</v>
      </c>
      <c r="N12" s="8">
        <f>IF(G12="Public holiday",H12,0)</f>
        <v>0</v>
      </c>
      <c r="O12" s="9">
        <f>INDEX(StaffRates,MATCH(C12,StaffNames,0))</f>
        <v>29.6</v>
      </c>
      <c r="P12" s="9">
        <f>ROUND(O12*(K12*IF(G12="Saturday",SatRate,1)+L12*OTRate+M12*SunRate+N12*PHRate),2)</f>
        <v>251.6</v>
      </c>
      <c r="Q12" s="9">
        <f>ROUND(O12*L12*OTRate,2)</f>
        <v>0</v>
      </c>
      <c r="R12">
        <f>TRIM(IF(E12="","No finish time ","")&amp;IF(H12&gt;MaxShift,"Shift over limit ","")&amp;IF(AND(H12&gt;5,F12&lt;MinBreak),"Short break ",""))</f>
      </c>
    </row>
    <row r="13">
      <c r="A13" s="4" t="n">
        <v>46322</v>
      </c>
      <c r="B13" s="5">
        <f>A13-WEEKDAY(A13,3)</f>
        <v>46321.0</v>
      </c>
      <c r="C13" s="6" t="inlineStr">
        <is>
          <t>Hugo Brandt</t>
        </is>
      </c>
      <c r="D13" s="7" t="n">
        <v>0.9270833333333334</v>
      </c>
      <c r="E13" s="7" t="n">
        <v>0.28125</v>
      </c>
      <c r="F13" s="6" t="n">
        <v>15</v>
      </c>
      <c r="G13" t="str">
        <f>IF(COUNTIF(Holidays,A13)&gt;0,"Public holiday",IF(WEEKDAY(A13,2)=7,"Sunday",IF(WEEKDAY(A13,2)=6,"Saturday","Weekday")))</f>
        <v>Weekday</v>
      </c>
      <c r="H13" s="8">
        <f>IF(OR(D13="",E13=""),0,ROUND(MOD(E13-D13,1)*24-F13/60,2))</f>
        <v>8.25</v>
      </c>
      <c r="I13" s="8">
        <f>IF(OR(G13="Sunday",G13="Public holiday"),0,H13)</f>
        <v>8.25</v>
      </c>
      <c r="J13" s="8">
        <f>SUMIFS($I$2:$I$149,$C$2:$C$149,C13,$B$2:$B$149,B13,$A$2:$A$149,"&lt;"&amp;A13)</f>
        <v>0</v>
      </c>
      <c r="K13" s="8">
        <f>MAX(0,MIN(I13,OrdHours-J13))</f>
        <v>8.25</v>
      </c>
      <c r="L13" s="8">
        <f>I13-K13</f>
        <v>0</v>
      </c>
      <c r="M13" s="8">
        <f>IF(G13="Sunday",H13,0)</f>
        <v>0</v>
      </c>
      <c r="N13" s="8">
        <f>IF(G13="Public holiday",H13,0)</f>
        <v>0</v>
      </c>
      <c r="O13" s="9">
        <f>INDEX(StaffRates,MATCH(C13,StaffNames,0))</f>
        <v>35.4</v>
      </c>
      <c r="P13" s="9">
        <f>ROUND(O13*(K13*IF(G13="Saturday",SatRate,1)+L13*OTRate+M13*SunRate+N13*PHRate),2)</f>
        <v>292.05</v>
      </c>
      <c r="Q13" s="9">
        <f>ROUND(O13*L13*OTRate,2)</f>
        <v>0</v>
      </c>
      <c r="R13" t="str">
        <f>TRIM(IF(E13="","No finish time ","")&amp;IF(H13&gt;MaxShift,"Shift over limit ","")&amp;IF(AND(H13&gt;5,F13&lt;MinBreak),"Short break ",""))</f>
        <v>Short break</v>
      </c>
    </row>
    <row r="14">
      <c r="A14" s="4" t="n">
        <v>46323</v>
      </c>
      <c r="B14" s="5">
        <f>A14-WEEKDAY(A14,3)</f>
        <v>46321.0</v>
      </c>
      <c r="C14" s="6" t="inlineStr">
        <is>
          <t>Ava Kingsley</t>
        </is>
      </c>
      <c r="D14" s="7" t="n">
        <v>0.2708333333333333</v>
      </c>
      <c r="E14" s="7" t="n">
        <v>0.6458333333333334</v>
      </c>
      <c r="F14" s="6" t="n">
        <v>30</v>
      </c>
      <c r="G14" t="str">
        <f>IF(COUNTIF(Holidays,A14)&gt;0,"Public holiday",IF(WEEKDAY(A14,2)=7,"Sunday",IF(WEEKDAY(A14,2)=6,"Saturday","Weekday")))</f>
        <v>Weekday</v>
      </c>
      <c r="H14" s="8">
        <f>IF(OR(D14="",E14=""),0,ROUND(MOD(E14-D14,1)*24-F14/60,2))</f>
        <v>8.5</v>
      </c>
      <c r="I14" s="8">
        <f>IF(OR(G14="Sunday",G14="Public holiday"),0,H14)</f>
        <v>8.5</v>
      </c>
      <c r="J14" s="8">
        <f>SUMIFS($I$2:$I$149,$C$2:$C$149,C14,$B$2:$B$149,B14,$A$2:$A$149,"&lt;"&amp;A14)</f>
        <v>9</v>
      </c>
      <c r="K14" s="8">
        <f>MAX(0,MIN(I14,OrdHours-J14))</f>
        <v>8.5</v>
      </c>
      <c r="L14" s="8">
        <f>I14-K14</f>
        <v>0</v>
      </c>
      <c r="M14" s="8">
        <f>IF(G14="Sunday",H14,0)</f>
        <v>0</v>
      </c>
      <c r="N14" s="8">
        <f>IF(G14="Public holiday",H14,0)</f>
        <v>0</v>
      </c>
      <c r="O14" s="9">
        <f>INDEX(StaffRates,MATCH(C14,StaffNames,0))</f>
        <v>34.8</v>
      </c>
      <c r="P14" s="9">
        <f>ROUND(O14*(K14*IF(G14="Saturday",SatRate,1)+L14*OTRate+M14*SunRate+N14*PHRate),2)</f>
        <v>295.8</v>
      </c>
      <c r="Q14" s="9">
        <f>ROUND(O14*L14*OTRate,2)</f>
        <v>0</v>
      </c>
      <c r="R14">
        <f>TRIM(IF(E14="","No finish time ","")&amp;IF(H14&gt;MaxShift,"Shift over limit ","")&amp;IF(AND(H14&gt;5,F14&lt;MinBreak),"Short break ",""))</f>
      </c>
    </row>
    <row r="15">
      <c r="A15" s="4" t="n">
        <v>46323</v>
      </c>
      <c r="B15" s="5">
        <f>A15-WEEKDAY(A15,3)</f>
        <v>46321.0</v>
      </c>
      <c r="C15" s="6" t="inlineStr">
        <is>
          <t>Ben Okafor</t>
        </is>
      </c>
      <c r="D15" s="7" t="n">
        <v>0.1875</v>
      </c>
      <c r="E15" s="7" t="n">
        <v>0.6041666666666666</v>
      </c>
      <c r="F15" s="6" t="n">
        <v>30</v>
      </c>
      <c r="G15" t="str">
        <f>IF(COUNTIF(Holidays,A15)&gt;0,"Public holiday",IF(WEEKDAY(A15,2)=7,"Sunday",IF(WEEKDAY(A15,2)=6,"Saturday","Weekday")))</f>
        <v>Weekday</v>
      </c>
      <c r="H15" s="8">
        <f>IF(OR(D15="",E15=""),0,ROUND(MOD(E15-D15,1)*24-F15/60,2))</f>
        <v>9.5</v>
      </c>
      <c r="I15" s="8">
        <f>IF(OR(G15="Sunday",G15="Public holiday"),0,H15)</f>
        <v>9.5</v>
      </c>
      <c r="J15" s="8">
        <f>SUMIFS($I$2:$I$149,$C$2:$C$149,C15,$B$2:$B$149,B15,$A$2:$A$149,"&lt;"&amp;A15)</f>
        <v>16</v>
      </c>
      <c r="K15" s="8">
        <f>MAX(0,MIN(I15,OrdHours-J15))</f>
        <v>9.5</v>
      </c>
      <c r="L15" s="8">
        <f>I15-K15</f>
        <v>0</v>
      </c>
      <c r="M15" s="8">
        <f>IF(G15="Sunday",H15,0)</f>
        <v>0</v>
      </c>
      <c r="N15" s="8">
        <f>IF(G15="Public holiday",H15,0)</f>
        <v>0</v>
      </c>
      <c r="O15" s="9">
        <f>INDEX(StaffRates,MATCH(C15,StaffNames,0))</f>
        <v>33.1</v>
      </c>
      <c r="P15" s="9">
        <f>ROUND(O15*(K15*IF(G15="Saturday",SatRate,1)+L15*OTRate+M15*SunRate+N15*PHRate),2)</f>
        <v>314.45</v>
      </c>
      <c r="Q15" s="9">
        <f>ROUND(O15*L15*OTRate,2)</f>
        <v>0</v>
      </c>
      <c r="R15">
        <f>TRIM(IF(E15="","No finish time ","")&amp;IF(H15&gt;MaxShift,"Shift over limit ","")&amp;IF(AND(H15&gt;5,F15&lt;MinBreak),"Short break ",""))</f>
      </c>
    </row>
    <row r="16">
      <c r="A16" s="4" t="n">
        <v>46323</v>
      </c>
      <c r="B16" s="5">
        <f>A16-WEEKDAY(A16,3)</f>
        <v>46321.0</v>
      </c>
      <c r="C16" s="6" t="inlineStr">
        <is>
          <t>Cara Delmonte</t>
        </is>
      </c>
      <c r="D16" s="7" t="n">
        <v>0.1875</v>
      </c>
      <c r="E16" s="7" t="n">
        <v>0.6041666666666666</v>
      </c>
      <c r="F16" s="6" t="n">
        <v>30</v>
      </c>
      <c r="G16" t="str">
        <f>IF(COUNTIF(Holidays,A16)&gt;0,"Public holiday",IF(WEEKDAY(A16,2)=7,"Sunday",IF(WEEKDAY(A16,2)=6,"Saturday","Weekday")))</f>
        <v>Weekday</v>
      </c>
      <c r="H16" s="8">
        <f>IF(OR(D16="",E16=""),0,ROUND(MOD(E16-D16,1)*24-F16/60,2))</f>
        <v>9.5</v>
      </c>
      <c r="I16" s="8">
        <f>IF(OR(G16="Sunday",G16="Public holiday"),0,H16)</f>
        <v>9.5</v>
      </c>
      <c r="J16" s="8">
        <f>SUMIFS($I$2:$I$149,$C$2:$C$149,C16,$B$2:$B$149,B16,$A$2:$A$149,"&lt;"&amp;A16)</f>
        <v>17.5</v>
      </c>
      <c r="K16" s="8">
        <f>MAX(0,MIN(I16,OrdHours-J16))</f>
        <v>9.5</v>
      </c>
      <c r="L16" s="8">
        <f>I16-K16</f>
        <v>0</v>
      </c>
      <c r="M16" s="8">
        <f>IF(G16="Sunday",H16,0)</f>
        <v>0</v>
      </c>
      <c r="N16" s="8">
        <f>IF(G16="Public holiday",H16,0)</f>
        <v>0</v>
      </c>
      <c r="O16" s="9">
        <f>INDEX(StaffRates,MATCH(C16,StaffNames,0))</f>
        <v>36.2</v>
      </c>
      <c r="P16" s="9">
        <f>ROUND(O16*(K16*IF(G16="Saturday",SatRate,1)+L16*OTRate+M16*SunRate+N16*PHRate),2)</f>
        <v>343.9</v>
      </c>
      <c r="Q16" s="9">
        <f>ROUND(O16*L16*OTRate,2)</f>
        <v>0</v>
      </c>
      <c r="R16">
        <f>TRIM(IF(E16="","No finish time ","")&amp;IF(H16&gt;MaxShift,"Shift over limit ","")&amp;IF(AND(H16&gt;5,F16&lt;MinBreak),"Short break ",""))</f>
      </c>
    </row>
    <row r="17">
      <c r="A17" s="4" t="n">
        <v>46323</v>
      </c>
      <c r="B17" s="5">
        <f>A17-WEEKDAY(A17,3)</f>
        <v>46321.0</v>
      </c>
      <c r="C17" s="6" t="inlineStr">
        <is>
          <t>Dylan Fraser</t>
        </is>
      </c>
      <c r="D17" s="7" t="n">
        <v>0.2708333333333333</v>
      </c>
      <c r="E17" s="7" t="n">
        <v>0.5833333333333334</v>
      </c>
      <c r="F17" s="6" t="n">
        <v>30</v>
      </c>
      <c r="G17" t="str">
        <f>IF(COUNTIF(Holidays,A17)&gt;0,"Public holiday",IF(WEEKDAY(A17,2)=7,"Sunday",IF(WEEKDAY(A17,2)=6,"Saturday","Weekday")))</f>
        <v>Weekday</v>
      </c>
      <c r="H17" s="8">
        <f>IF(OR(D17="",E17=""),0,ROUND(MOD(E17-D17,1)*24-F17/60,2))</f>
        <v>7</v>
      </c>
      <c r="I17" s="8">
        <f>IF(OR(G17="Sunday",G17="Public holiday"),0,H17)</f>
        <v>7</v>
      </c>
      <c r="J17" s="8">
        <f>SUMIFS($I$2:$I$149,$C$2:$C$149,C17,$B$2:$B$149,B17,$A$2:$A$149,"&lt;"&amp;A17)</f>
        <v>5.5</v>
      </c>
      <c r="K17" s="8">
        <f>MAX(0,MIN(I17,OrdHours-J17))</f>
        <v>7</v>
      </c>
      <c r="L17" s="8">
        <f>I17-K17</f>
        <v>0</v>
      </c>
      <c r="M17" s="8">
        <f>IF(G17="Sunday",H17,0)</f>
        <v>0</v>
      </c>
      <c r="N17" s="8">
        <f>IF(G17="Public holiday",H17,0)</f>
        <v>0</v>
      </c>
      <c r="O17" s="9">
        <f>INDEX(StaffRates,MATCH(C17,StaffNames,0))</f>
        <v>29.6</v>
      </c>
      <c r="P17" s="9">
        <f>ROUND(O17*(K17*IF(G17="Saturday",SatRate,1)+L17*OTRate+M17*SunRate+N17*PHRate),2)</f>
        <v>207.2</v>
      </c>
      <c r="Q17" s="9">
        <f>ROUND(O17*L17*OTRate,2)</f>
        <v>0</v>
      </c>
      <c r="R17">
        <f>TRIM(IF(E17="","No finish time ","")&amp;IF(H17&gt;MaxShift,"Shift over limit ","")&amp;IF(AND(H17&gt;5,F17&lt;MinBreak),"Short break ",""))</f>
      </c>
    </row>
    <row r="18">
      <c r="A18" s="4" t="n">
        <v>46323</v>
      </c>
      <c r="B18" s="5">
        <f>A18-WEEKDAY(A18,3)</f>
        <v>46321.0</v>
      </c>
      <c r="C18" s="6" t="inlineStr">
        <is>
          <t>Esme Rowe</t>
        </is>
      </c>
      <c r="D18" s="7" t="n">
        <v>0.2708333333333333</v>
      </c>
      <c r="E18" s="7" t="n">
        <v>0.5875</v>
      </c>
      <c r="F18" s="6" t="n">
        <v>30</v>
      </c>
      <c r="G18" t="str">
        <f>IF(COUNTIF(Holidays,A18)&gt;0,"Public holiday",IF(WEEKDAY(A18,2)=7,"Sunday",IF(WEEKDAY(A18,2)=6,"Saturday","Weekday")))</f>
        <v>Weekday</v>
      </c>
      <c r="H18" s="8">
        <f>IF(OR(D18="",E18=""),0,ROUND(MOD(E18-D18,1)*24-F18/60,2))</f>
        <v>7.1</v>
      </c>
      <c r="I18" s="8">
        <f>IF(OR(G18="Sunday",G18="Public holiday"),0,H18)</f>
        <v>7.1</v>
      </c>
      <c r="J18" s="8">
        <f>SUMIFS($I$2:$I$149,$C$2:$C$149,C18,$B$2:$B$149,B18,$A$2:$A$149,"&lt;"&amp;A18)</f>
        <v>5.5</v>
      </c>
      <c r="K18" s="8">
        <f>MAX(0,MIN(I18,OrdHours-J18))</f>
        <v>7.1</v>
      </c>
      <c r="L18" s="8">
        <f>I18-K18</f>
        <v>0</v>
      </c>
      <c r="M18" s="8">
        <f>IF(G18="Sunday",H18,0)</f>
        <v>0</v>
      </c>
      <c r="N18" s="8">
        <f>IF(G18="Public holiday",H18,0)</f>
        <v>0</v>
      </c>
      <c r="O18" s="9">
        <f>INDEX(StaffRates,MATCH(C18,StaffNames,0))</f>
        <v>27.9</v>
      </c>
      <c r="P18" s="9">
        <f>ROUND(O18*(K18*IF(G18="Saturday",SatRate,1)+L18*OTRate+M18*SunRate+N18*PHRate),2)</f>
        <v>198.09</v>
      </c>
      <c r="Q18" s="9">
        <f>ROUND(O18*L18*OTRate,2)</f>
        <v>0</v>
      </c>
      <c r="R18">
        <f>TRIM(IF(E18="","No finish time ","")&amp;IF(H18&gt;MaxShift,"Shift over limit ","")&amp;IF(AND(H18&gt;5,F18&lt;MinBreak),"Short break ",""))</f>
      </c>
    </row>
    <row r="19">
      <c r="A19" s="4" t="n">
        <v>46323</v>
      </c>
      <c r="B19" s="5">
        <f>A19-WEEKDAY(A19,3)</f>
        <v>46321.0</v>
      </c>
      <c r="C19" s="6" t="inlineStr">
        <is>
          <t>Hugo Brandt</t>
        </is>
      </c>
      <c r="D19" s="7" t="n">
        <v>0.9166666666666666</v>
      </c>
      <c r="E19" s="7" t="n"/>
      <c r="F19" s="6" t="n">
        <v>30</v>
      </c>
      <c r="G19" t="str">
        <f>IF(COUNTIF(Holidays,A19)&gt;0,"Public holiday",IF(WEEKDAY(A19,2)=7,"Sunday",IF(WEEKDAY(A19,2)=6,"Saturday","Weekday")))</f>
        <v>Weekday</v>
      </c>
      <c r="H19" s="8">
        <f>IF(OR(D19="",E19=""),0,ROUND(MOD(E19-D19,1)*24-F19/60,2))</f>
        <v>0</v>
      </c>
      <c r="I19" s="8">
        <f>IF(OR(G19="Sunday",G19="Public holiday"),0,H19)</f>
        <v>0</v>
      </c>
      <c r="J19" s="8">
        <f>SUMIFS($I$2:$I$149,$C$2:$C$149,C19,$B$2:$B$149,B19,$A$2:$A$149,"&lt;"&amp;A19)</f>
        <v>8.25</v>
      </c>
      <c r="K19" s="8">
        <f>MAX(0,MIN(I19,OrdHours-J19))</f>
        <v>0</v>
      </c>
      <c r="L19" s="8">
        <f>I19-K19</f>
        <v>0</v>
      </c>
      <c r="M19" s="8">
        <f>IF(G19="Sunday",H19,0)</f>
        <v>0</v>
      </c>
      <c r="N19" s="8">
        <f>IF(G19="Public holiday",H19,0)</f>
        <v>0</v>
      </c>
      <c r="O19" s="9">
        <f>INDEX(StaffRates,MATCH(C19,StaffNames,0))</f>
        <v>35.4</v>
      </c>
      <c r="P19" s="9">
        <f>ROUND(O19*(K19*IF(G19="Saturday",SatRate,1)+L19*OTRate+M19*SunRate+N19*PHRate),2)</f>
        <v>0</v>
      </c>
      <c r="Q19" s="9">
        <f>ROUND(O19*L19*OTRate,2)</f>
        <v>0</v>
      </c>
      <c r="R19" t="str">
        <f>TRIM(IF(E19="","No finish time ","")&amp;IF(H19&gt;MaxShift,"Shift over limit ","")&amp;IF(AND(H19&gt;5,F19&lt;MinBreak),"Short break ",""))</f>
        <v>No finish time</v>
      </c>
    </row>
    <row r="20">
      <c r="A20" s="4" t="n">
        <v>46324</v>
      </c>
      <c r="B20" s="5">
        <f>A20-WEEKDAY(A20,3)</f>
        <v>46321.0</v>
      </c>
      <c r="C20" s="6" t="inlineStr">
        <is>
          <t>Ava Kingsley</t>
        </is>
      </c>
      <c r="D20" s="7" t="n">
        <v>0.25</v>
      </c>
      <c r="E20" s="7" t="n">
        <v>0.6041666666666666</v>
      </c>
      <c r="F20" s="6" t="n">
        <v>30</v>
      </c>
      <c r="G20" t="str">
        <f>IF(COUNTIF(Holidays,A20)&gt;0,"Public holiday",IF(WEEKDAY(A20,2)=7,"Sunday",IF(WEEKDAY(A20,2)=6,"Saturday","Weekday")))</f>
        <v>Weekday</v>
      </c>
      <c r="H20" s="8">
        <f>IF(OR(D20="",E20=""),0,ROUND(MOD(E20-D20,1)*24-F20/60,2))</f>
        <v>8</v>
      </c>
      <c r="I20" s="8">
        <f>IF(OR(G20="Sunday",G20="Public holiday"),0,H20)</f>
        <v>8</v>
      </c>
      <c r="J20" s="8">
        <f>SUMIFS($I$2:$I$149,$C$2:$C$149,C20,$B$2:$B$149,B20,$A$2:$A$149,"&lt;"&amp;A20)</f>
        <v>17.5</v>
      </c>
      <c r="K20" s="8">
        <f>MAX(0,MIN(I20,OrdHours-J20))</f>
        <v>8</v>
      </c>
      <c r="L20" s="8">
        <f>I20-K20</f>
        <v>0</v>
      </c>
      <c r="M20" s="8">
        <f>IF(G20="Sunday",H20,0)</f>
        <v>0</v>
      </c>
      <c r="N20" s="8">
        <f>IF(G20="Public holiday",H20,0)</f>
        <v>0</v>
      </c>
      <c r="O20" s="9">
        <f>INDEX(StaffRates,MATCH(C20,StaffNames,0))</f>
        <v>34.8</v>
      </c>
      <c r="P20" s="9">
        <f>ROUND(O20*(K20*IF(G20="Saturday",SatRate,1)+L20*OTRate+M20*SunRate+N20*PHRate),2)</f>
        <v>278.4</v>
      </c>
      <c r="Q20" s="9">
        <f>ROUND(O20*L20*OTRate,2)</f>
        <v>0</v>
      </c>
      <c r="R20">
        <f>TRIM(IF(E20="","No finish time ","")&amp;IF(H20&gt;MaxShift,"Shift over limit ","")&amp;IF(AND(H20&gt;5,F20&lt;MinBreak),"Short break ",""))</f>
      </c>
    </row>
    <row r="21">
      <c r="A21" s="4" t="n">
        <v>46324</v>
      </c>
      <c r="B21" s="5">
        <f>A21-WEEKDAY(A21,3)</f>
        <v>46321.0</v>
      </c>
      <c r="C21" s="6" t="inlineStr">
        <is>
          <t>Ben Okafor</t>
        </is>
      </c>
      <c r="D21" s="7" t="n">
        <v>0.1666666666666667</v>
      </c>
      <c r="E21" s="7" t="n">
        <v>0.5833333333333334</v>
      </c>
      <c r="F21" s="6" t="n">
        <v>30</v>
      </c>
      <c r="G21" t="str">
        <f>IF(COUNTIF(Holidays,A21)&gt;0,"Public holiday",IF(WEEKDAY(A21,2)=7,"Sunday",IF(WEEKDAY(A21,2)=6,"Saturday","Weekday")))</f>
        <v>Weekday</v>
      </c>
      <c r="H21" s="8">
        <f>IF(OR(D21="",E21=""),0,ROUND(MOD(E21-D21,1)*24-F21/60,2))</f>
        <v>9.5</v>
      </c>
      <c r="I21" s="8">
        <f>IF(OR(G21="Sunday",G21="Public holiday"),0,H21)</f>
        <v>9.5</v>
      </c>
      <c r="J21" s="8">
        <f>SUMIFS($I$2:$I$149,$C$2:$C$149,C21,$B$2:$B$149,B21,$A$2:$A$149,"&lt;"&amp;A21)</f>
        <v>25.5</v>
      </c>
      <c r="K21" s="8">
        <f>MAX(0,MIN(I21,OrdHours-J21))</f>
        <v>9.5</v>
      </c>
      <c r="L21" s="8">
        <f>I21-K21</f>
        <v>0</v>
      </c>
      <c r="M21" s="8">
        <f>IF(G21="Sunday",H21,0)</f>
        <v>0</v>
      </c>
      <c r="N21" s="8">
        <f>IF(G21="Public holiday",H21,0)</f>
        <v>0</v>
      </c>
      <c r="O21" s="9">
        <f>INDEX(StaffRates,MATCH(C21,StaffNames,0))</f>
        <v>33.1</v>
      </c>
      <c r="P21" s="9">
        <f>ROUND(O21*(K21*IF(G21="Saturday",SatRate,1)+L21*OTRate+M21*SunRate+N21*PHRate),2)</f>
        <v>314.45</v>
      </c>
      <c r="Q21" s="9">
        <f>ROUND(O21*L21*OTRate,2)</f>
        <v>0</v>
      </c>
      <c r="R21">
        <f>TRIM(IF(E21="","No finish time ","")&amp;IF(H21&gt;MaxShift,"Shift over limit ","")&amp;IF(AND(H21&gt;5,F21&lt;MinBreak),"Short break ",""))</f>
      </c>
    </row>
    <row r="22">
      <c r="A22" s="4" t="n">
        <v>46324</v>
      </c>
      <c r="B22" s="5">
        <f>A22-WEEKDAY(A22,3)</f>
        <v>46321.0</v>
      </c>
      <c r="C22" s="6" t="inlineStr">
        <is>
          <t>Cara Delmonte</t>
        </is>
      </c>
      <c r="D22" s="7" t="n">
        <v>0.2083333333333333</v>
      </c>
      <c r="E22" s="7" t="n">
        <v>0.5833333333333334</v>
      </c>
      <c r="F22" s="6" t="n">
        <v>15</v>
      </c>
      <c r="G22" t="str">
        <f>IF(COUNTIF(Holidays,A22)&gt;0,"Public holiday",IF(WEEKDAY(A22,2)=7,"Sunday",IF(WEEKDAY(A22,2)=6,"Saturday","Weekday")))</f>
        <v>Weekday</v>
      </c>
      <c r="H22" s="8">
        <f>IF(OR(D22="",E22=""),0,ROUND(MOD(E22-D22,1)*24-F22/60,2))</f>
        <v>8.75</v>
      </c>
      <c r="I22" s="8">
        <f>IF(OR(G22="Sunday",G22="Public holiday"),0,H22)</f>
        <v>8.75</v>
      </c>
      <c r="J22" s="8">
        <f>SUMIFS($I$2:$I$149,$C$2:$C$149,C22,$B$2:$B$149,B22,$A$2:$A$149,"&lt;"&amp;A22)</f>
        <v>27</v>
      </c>
      <c r="K22" s="8">
        <f>MAX(0,MIN(I22,OrdHours-J22))</f>
        <v>8.75</v>
      </c>
      <c r="L22" s="8">
        <f>I22-K22</f>
        <v>0</v>
      </c>
      <c r="M22" s="8">
        <f>IF(G22="Sunday",H22,0)</f>
        <v>0</v>
      </c>
      <c r="N22" s="8">
        <f>IF(G22="Public holiday",H22,0)</f>
        <v>0</v>
      </c>
      <c r="O22" s="9">
        <f>INDEX(StaffRates,MATCH(C22,StaffNames,0))</f>
        <v>36.2</v>
      </c>
      <c r="P22" s="9">
        <f>ROUND(O22*(K22*IF(G22="Saturday",SatRate,1)+L22*OTRate+M22*SunRate+N22*PHRate),2)</f>
        <v>316.75</v>
      </c>
      <c r="Q22" s="9">
        <f>ROUND(O22*L22*OTRate,2)</f>
        <v>0</v>
      </c>
      <c r="R22" t="str">
        <f>TRIM(IF(E22="","No finish time ","")&amp;IF(H22&gt;MaxShift,"Shift over limit ","")&amp;IF(AND(H22&gt;5,F22&lt;MinBreak),"Short break ",""))</f>
        <v>Short break</v>
      </c>
    </row>
    <row r="23">
      <c r="A23" s="4" t="n">
        <v>46324</v>
      </c>
      <c r="B23" s="5">
        <f>A23-WEEKDAY(A23,3)</f>
        <v>46321.0</v>
      </c>
      <c r="C23" s="6" t="inlineStr">
        <is>
          <t>Esme Rowe</t>
        </is>
      </c>
      <c r="D23" s="7" t="n">
        <v>0.3125</v>
      </c>
      <c r="E23" s="7" t="n">
        <v>0.5208333333333334</v>
      </c>
      <c r="F23" s="6" t="n">
        <v>0</v>
      </c>
      <c r="G23" t="str">
        <f>IF(COUNTIF(Holidays,A23)&gt;0,"Public holiday",IF(WEEKDAY(A23,2)=7,"Sunday",IF(WEEKDAY(A23,2)=6,"Saturday","Weekday")))</f>
        <v>Weekday</v>
      </c>
      <c r="H23" s="8">
        <f>IF(OR(D23="",E23=""),0,ROUND(MOD(E23-D23,1)*24-F23/60,2))</f>
        <v>5</v>
      </c>
      <c r="I23" s="8">
        <f>IF(OR(G23="Sunday",G23="Public holiday"),0,H23)</f>
        <v>5</v>
      </c>
      <c r="J23" s="8">
        <f>SUMIFS($I$2:$I$149,$C$2:$C$149,C23,$B$2:$B$149,B23,$A$2:$A$149,"&lt;"&amp;A23)</f>
        <v>12.6</v>
      </c>
      <c r="K23" s="8">
        <f>MAX(0,MIN(I23,OrdHours-J23))</f>
        <v>5</v>
      </c>
      <c r="L23" s="8">
        <f>I23-K23</f>
        <v>0</v>
      </c>
      <c r="M23" s="8">
        <f>IF(G23="Sunday",H23,0)</f>
        <v>0</v>
      </c>
      <c r="N23" s="8">
        <f>IF(G23="Public holiday",H23,0)</f>
        <v>0</v>
      </c>
      <c r="O23" s="9">
        <f>INDEX(StaffRates,MATCH(C23,StaffNames,0))</f>
        <v>27.9</v>
      </c>
      <c r="P23" s="9">
        <f>ROUND(O23*(K23*IF(G23="Saturday",SatRate,1)+L23*OTRate+M23*SunRate+N23*PHRate),2)</f>
        <v>139.5</v>
      </c>
      <c r="Q23" s="9">
        <f>ROUND(O23*L23*OTRate,2)</f>
        <v>0</v>
      </c>
      <c r="R23">
        <f>TRIM(IF(E23="","No finish time ","")&amp;IF(H23&gt;MaxShift,"Shift over limit ","")&amp;IF(AND(H23&gt;5,F23&lt;MinBreak),"Short break ",""))</f>
      </c>
    </row>
    <row r="24">
      <c r="A24" s="4" t="n">
        <v>46324</v>
      </c>
      <c r="B24" s="5">
        <f>A24-WEEKDAY(A24,3)</f>
        <v>46321.0</v>
      </c>
      <c r="C24" s="6" t="inlineStr">
        <is>
          <t>Felix Nguyen</t>
        </is>
      </c>
      <c r="D24" s="7" t="n">
        <v>0.46875</v>
      </c>
      <c r="E24" s="7" t="n">
        <v>0.6354166666666666</v>
      </c>
      <c r="F24" s="6" t="n">
        <v>0</v>
      </c>
      <c r="G24" t="str">
        <f>IF(COUNTIF(Holidays,A24)&gt;0,"Public holiday",IF(WEEKDAY(A24,2)=7,"Sunday",IF(WEEKDAY(A24,2)=6,"Saturday","Weekday")))</f>
        <v>Weekday</v>
      </c>
      <c r="H24" s="8">
        <f>IF(OR(D24="",E24=""),0,ROUND(MOD(E24-D24,1)*24-F24/60,2))</f>
        <v>4</v>
      </c>
      <c r="I24" s="8">
        <f>IF(OR(G24="Sunday",G24="Public holiday"),0,H24)</f>
        <v>4</v>
      </c>
      <c r="J24" s="8">
        <f>SUMIFS($I$2:$I$149,$C$2:$C$149,C24,$B$2:$B$149,B24,$A$2:$A$149,"&lt;"&amp;A24)</f>
        <v>12.1</v>
      </c>
      <c r="K24" s="8">
        <f>MAX(0,MIN(I24,OrdHours-J24))</f>
        <v>4</v>
      </c>
      <c r="L24" s="8">
        <f>I24-K24</f>
        <v>0</v>
      </c>
      <c r="M24" s="8">
        <f>IF(G24="Sunday",H24,0)</f>
        <v>0</v>
      </c>
      <c r="N24" s="8">
        <f>IF(G24="Public holiday",H24,0)</f>
        <v>0</v>
      </c>
      <c r="O24" s="9">
        <f>INDEX(StaffRates,MATCH(C24,StaffNames,0))</f>
        <v>27.9</v>
      </c>
      <c r="P24" s="9">
        <f>ROUND(O24*(K24*IF(G24="Saturday",SatRate,1)+L24*OTRate+M24*SunRate+N24*PHRate),2)</f>
        <v>111.6</v>
      </c>
      <c r="Q24" s="9">
        <f>ROUND(O24*L24*OTRate,2)</f>
        <v>0</v>
      </c>
      <c r="R24">
        <f>TRIM(IF(E24="","No finish time ","")&amp;IF(H24&gt;MaxShift,"Shift over limit ","")&amp;IF(AND(H24&gt;5,F24&lt;MinBreak),"Short break ",""))</f>
      </c>
    </row>
    <row r="25">
      <c r="A25" s="4" t="n">
        <v>46324</v>
      </c>
      <c r="B25" s="5">
        <f>A25-WEEKDAY(A25,3)</f>
        <v>46321.0</v>
      </c>
      <c r="C25" s="6" t="inlineStr">
        <is>
          <t>Gia Marchant</t>
        </is>
      </c>
      <c r="D25" s="7" t="n">
        <v>0.3229166666666667</v>
      </c>
      <c r="E25" s="7" t="n">
        <v>0.6354166666666666</v>
      </c>
      <c r="F25" s="6" t="n">
        <v>30</v>
      </c>
      <c r="G25" t="str">
        <f>IF(COUNTIF(Holidays,A25)&gt;0,"Public holiday",IF(WEEKDAY(A25,2)=7,"Sunday",IF(WEEKDAY(A25,2)=6,"Saturday","Weekday")))</f>
        <v>Weekday</v>
      </c>
      <c r="H25" s="8">
        <f>IF(OR(D25="",E25=""),0,ROUND(MOD(E25-D25,1)*24-F25/60,2))</f>
        <v>7</v>
      </c>
      <c r="I25" s="8">
        <f>IF(OR(G25="Sunday",G25="Public holiday"),0,H25)</f>
        <v>7</v>
      </c>
      <c r="J25" s="8">
        <f>SUMIFS($I$2:$I$149,$C$2:$C$149,C25,$B$2:$B$149,B25,$A$2:$A$149,"&lt;"&amp;A25)</f>
        <v>17</v>
      </c>
      <c r="K25" s="8">
        <f>MAX(0,MIN(I25,OrdHours-J25))</f>
        <v>7</v>
      </c>
      <c r="L25" s="8">
        <f>I25-K25</f>
        <v>0</v>
      </c>
      <c r="M25" s="8">
        <f>IF(G25="Sunday",H25,0)</f>
        <v>0</v>
      </c>
      <c r="N25" s="8">
        <f>IF(G25="Public holiday",H25,0)</f>
        <v>0</v>
      </c>
      <c r="O25" s="9">
        <f>INDEX(StaffRates,MATCH(C25,StaffNames,0))</f>
        <v>29.6</v>
      </c>
      <c r="P25" s="9">
        <f>ROUND(O25*(K25*IF(G25="Saturday",SatRate,1)+L25*OTRate+M25*SunRate+N25*PHRate),2)</f>
        <v>207.2</v>
      </c>
      <c r="Q25" s="9">
        <f>ROUND(O25*L25*OTRate,2)</f>
        <v>0</v>
      </c>
      <c r="R25">
        <f>TRIM(IF(E25="","No finish time ","")&amp;IF(H25&gt;MaxShift,"Shift over limit ","")&amp;IF(AND(H25&gt;5,F25&lt;MinBreak),"Short break ",""))</f>
      </c>
    </row>
    <row r="26">
      <c r="A26" s="4" t="n">
        <v>46324</v>
      </c>
      <c r="B26" s="5">
        <f>A26-WEEKDAY(A26,3)</f>
        <v>46321.0</v>
      </c>
      <c r="C26" s="6" t="inlineStr">
        <is>
          <t>Hugo Brandt</t>
        </is>
      </c>
      <c r="D26" s="7" t="n">
        <v>0.9166666666666666</v>
      </c>
      <c r="E26" s="7" t="n">
        <v>0.1666666666666667</v>
      </c>
      <c r="F26" s="6" t="n">
        <v>15</v>
      </c>
      <c r="G26" t="str">
        <f>IF(COUNTIF(Holidays,A26)&gt;0,"Public holiday",IF(WEEKDAY(A26,2)=7,"Sunday",IF(WEEKDAY(A26,2)=6,"Saturday","Weekday")))</f>
        <v>Weekday</v>
      </c>
      <c r="H26" s="8">
        <f>IF(OR(D26="",E26=""),0,ROUND(MOD(E26-D26,1)*24-F26/60,2))</f>
        <v>5.75</v>
      </c>
      <c r="I26" s="8">
        <f>IF(OR(G26="Sunday",G26="Public holiday"),0,H26)</f>
        <v>5.75</v>
      </c>
      <c r="J26" s="8">
        <f>SUMIFS($I$2:$I$149,$C$2:$C$149,C26,$B$2:$B$149,B26,$A$2:$A$149,"&lt;"&amp;A26)</f>
        <v>8.25</v>
      </c>
      <c r="K26" s="8">
        <f>MAX(0,MIN(I26,OrdHours-J26))</f>
        <v>5.75</v>
      </c>
      <c r="L26" s="8">
        <f>I26-K26</f>
        <v>0</v>
      </c>
      <c r="M26" s="8">
        <f>IF(G26="Sunday",H26,0)</f>
        <v>0</v>
      </c>
      <c r="N26" s="8">
        <f>IF(G26="Public holiday",H26,0)</f>
        <v>0</v>
      </c>
      <c r="O26" s="9">
        <f>INDEX(StaffRates,MATCH(C26,StaffNames,0))</f>
        <v>35.4</v>
      </c>
      <c r="P26" s="9">
        <f>ROUND(O26*(K26*IF(G26="Saturday",SatRate,1)+L26*OTRate+M26*SunRate+N26*PHRate),2)</f>
        <v>203.55</v>
      </c>
      <c r="Q26" s="9">
        <f>ROUND(O26*L26*OTRate,2)</f>
        <v>0</v>
      </c>
      <c r="R26" t="str">
        <f>TRIM(IF(E26="","No finish time ","")&amp;IF(H26&gt;MaxShift,"Shift over limit ","")&amp;IF(AND(H26&gt;5,F26&lt;MinBreak),"Short break ",""))</f>
        <v>Short break</v>
      </c>
    </row>
    <row r="27">
      <c r="A27" s="4" t="n">
        <v>46325</v>
      </c>
      <c r="B27" s="5">
        <f>A27-WEEKDAY(A27,3)</f>
        <v>46321.0</v>
      </c>
      <c r="C27" s="6" t="inlineStr">
        <is>
          <t>Ben Okafor</t>
        </is>
      </c>
      <c r="D27" s="7" t="n">
        <v>0.1875</v>
      </c>
      <c r="E27" s="7" t="n">
        <v>0.5416666666666666</v>
      </c>
      <c r="F27" s="6" t="n">
        <v>30</v>
      </c>
      <c r="G27" t="str">
        <f>IF(COUNTIF(Holidays,A27)&gt;0,"Public holiday",IF(WEEKDAY(A27,2)=7,"Sunday",IF(WEEKDAY(A27,2)=6,"Saturday","Weekday")))</f>
        <v>Weekday</v>
      </c>
      <c r="H27" s="8">
        <f>IF(OR(D27="",E27=""),0,ROUND(MOD(E27-D27,1)*24-F27/60,2))</f>
        <v>8</v>
      </c>
      <c r="I27" s="8">
        <f>IF(OR(G27="Sunday",G27="Public holiday"),0,H27)</f>
        <v>8</v>
      </c>
      <c r="J27" s="8">
        <f>SUMIFS($I$2:$I$149,$C$2:$C$149,C27,$B$2:$B$149,B27,$A$2:$A$149,"&lt;"&amp;A27)</f>
        <v>35</v>
      </c>
      <c r="K27" s="8">
        <f>MAX(0,MIN(I27,OrdHours-J27))</f>
        <v>3</v>
      </c>
      <c r="L27" s="8">
        <f>I27-K27</f>
        <v>5</v>
      </c>
      <c r="M27" s="8">
        <f>IF(G27="Sunday",H27,0)</f>
        <v>0</v>
      </c>
      <c r="N27" s="8">
        <f>IF(G27="Public holiday",H27,0)</f>
        <v>0</v>
      </c>
      <c r="O27" s="9">
        <f>INDEX(StaffRates,MATCH(C27,StaffNames,0))</f>
        <v>33.1</v>
      </c>
      <c r="P27" s="9">
        <f>ROUND(O27*(K27*IF(G27="Saturday",SatRate,1)+L27*OTRate+M27*SunRate+N27*PHRate),2)</f>
        <v>347.55</v>
      </c>
      <c r="Q27" s="9">
        <f>ROUND(O27*L27*OTRate,2)</f>
        <v>248.25</v>
      </c>
      <c r="R27">
        <f>TRIM(IF(E27="","No finish time ","")&amp;IF(H27&gt;MaxShift,"Shift over limit ","")&amp;IF(AND(H27&gt;5,F27&lt;MinBreak),"Short break ",""))</f>
      </c>
    </row>
    <row r="28">
      <c r="A28" s="4" t="n">
        <v>46325</v>
      </c>
      <c r="B28" s="5">
        <f>A28-WEEKDAY(A28,3)</f>
        <v>46321.0</v>
      </c>
      <c r="C28" s="6" t="inlineStr">
        <is>
          <t>Cara Delmonte</t>
        </is>
      </c>
      <c r="D28" s="7" t="n">
        <v>0.1875</v>
      </c>
      <c r="E28" s="7" t="n">
        <v>0.6041666666666666</v>
      </c>
      <c r="F28" s="6" t="n">
        <v>30</v>
      </c>
      <c r="G28" t="str">
        <f>IF(COUNTIF(Holidays,A28)&gt;0,"Public holiday",IF(WEEKDAY(A28,2)=7,"Sunday",IF(WEEKDAY(A28,2)=6,"Saturday","Weekday")))</f>
        <v>Weekday</v>
      </c>
      <c r="H28" s="8">
        <f>IF(OR(D28="",E28=""),0,ROUND(MOD(E28-D28,1)*24-F28/60,2))</f>
        <v>9.5</v>
      </c>
      <c r="I28" s="8">
        <f>IF(OR(G28="Sunday",G28="Public holiday"),0,H28)</f>
        <v>9.5</v>
      </c>
      <c r="J28" s="8">
        <f>SUMIFS($I$2:$I$149,$C$2:$C$149,C28,$B$2:$B$149,B28,$A$2:$A$149,"&lt;"&amp;A28)</f>
        <v>35.75</v>
      </c>
      <c r="K28" s="8">
        <f>MAX(0,MIN(I28,OrdHours-J28))</f>
        <v>2.25</v>
      </c>
      <c r="L28" s="8">
        <f>I28-K28</f>
        <v>7.25</v>
      </c>
      <c r="M28" s="8">
        <f>IF(G28="Sunday",H28,0)</f>
        <v>0</v>
      </c>
      <c r="N28" s="8">
        <f>IF(G28="Public holiday",H28,0)</f>
        <v>0</v>
      </c>
      <c r="O28" s="9">
        <f>INDEX(StaffRates,MATCH(C28,StaffNames,0))</f>
        <v>36.2</v>
      </c>
      <c r="P28" s="9">
        <f>ROUND(O28*(K28*IF(G28="Saturday",SatRate,1)+L28*OTRate+M28*SunRate+N28*PHRate),2)</f>
        <v>475.13</v>
      </c>
      <c r="Q28" s="9">
        <f>ROUND(O28*L28*OTRate,2)</f>
        <v>393.68</v>
      </c>
      <c r="R28">
        <f>TRIM(IF(E28="","No finish time ","")&amp;IF(H28&gt;MaxShift,"Shift over limit ","")&amp;IF(AND(H28&gt;5,F28&lt;MinBreak),"Short break ",""))</f>
      </c>
    </row>
    <row r="29">
      <c r="A29" s="4" t="n">
        <v>46325</v>
      </c>
      <c r="B29" s="5">
        <f>A29-WEEKDAY(A29,3)</f>
        <v>46321.0</v>
      </c>
      <c r="C29" s="6" t="inlineStr">
        <is>
          <t>Dylan Fraser</t>
        </is>
      </c>
      <c r="D29" s="7" t="n">
        <v>0.2916666666666667</v>
      </c>
      <c r="E29" s="7" t="n">
        <v>0.625</v>
      </c>
      <c r="F29" s="6" t="n">
        <v>30</v>
      </c>
      <c r="G29" t="str">
        <f>IF(COUNTIF(Holidays,A29)&gt;0,"Public holiday",IF(WEEKDAY(A29,2)=7,"Sunday",IF(WEEKDAY(A29,2)=6,"Saturday","Weekday")))</f>
        <v>Weekday</v>
      </c>
      <c r="H29" s="8">
        <f>IF(OR(D29="",E29=""),0,ROUND(MOD(E29-D29,1)*24-F29/60,2))</f>
        <v>7.5</v>
      </c>
      <c r="I29" s="8">
        <f>IF(OR(G29="Sunday",G29="Public holiday"),0,H29)</f>
        <v>7.5</v>
      </c>
      <c r="J29" s="8">
        <f>SUMIFS($I$2:$I$149,$C$2:$C$149,C29,$B$2:$B$149,B29,$A$2:$A$149,"&lt;"&amp;A29)</f>
        <v>12.5</v>
      </c>
      <c r="K29" s="8">
        <f>MAX(0,MIN(I29,OrdHours-J29))</f>
        <v>7.5</v>
      </c>
      <c r="L29" s="8">
        <f>I29-K29</f>
        <v>0</v>
      </c>
      <c r="M29" s="8">
        <f>IF(G29="Sunday",H29,0)</f>
        <v>0</v>
      </c>
      <c r="N29" s="8">
        <f>IF(G29="Public holiday",H29,0)</f>
        <v>0</v>
      </c>
      <c r="O29" s="9">
        <f>INDEX(StaffRates,MATCH(C29,StaffNames,0))</f>
        <v>29.6</v>
      </c>
      <c r="P29" s="9">
        <f>ROUND(O29*(K29*IF(G29="Saturday",SatRate,1)+L29*OTRate+M29*SunRate+N29*PHRate),2)</f>
        <v>222</v>
      </c>
      <c r="Q29" s="9">
        <f>ROUND(O29*L29*OTRate,2)</f>
        <v>0</v>
      </c>
      <c r="R29">
        <f>TRIM(IF(E29="","No finish time ","")&amp;IF(H29&gt;MaxShift,"Shift over limit ","")&amp;IF(AND(H29&gt;5,F29&lt;MinBreak),"Short break ",""))</f>
      </c>
    </row>
    <row r="30">
      <c r="A30" s="4" t="n">
        <v>46325</v>
      </c>
      <c r="B30" s="5">
        <f>A30-WEEKDAY(A30,3)</f>
        <v>46321.0</v>
      </c>
      <c r="C30" s="6" t="inlineStr">
        <is>
          <t>Esme Rowe</t>
        </is>
      </c>
      <c r="D30" s="7" t="n">
        <v>0.2708333333333333</v>
      </c>
      <c r="E30" s="7" t="n">
        <v>0.5875</v>
      </c>
      <c r="F30" s="6" t="n">
        <v>30</v>
      </c>
      <c r="G30" t="str">
        <f>IF(COUNTIF(Holidays,A30)&gt;0,"Public holiday",IF(WEEKDAY(A30,2)=7,"Sunday",IF(WEEKDAY(A30,2)=6,"Saturday","Weekday")))</f>
        <v>Weekday</v>
      </c>
      <c r="H30" s="8">
        <f>IF(OR(D30="",E30=""),0,ROUND(MOD(E30-D30,1)*24-F30/60,2))</f>
        <v>7.1</v>
      </c>
      <c r="I30" s="8">
        <f>IF(OR(G30="Sunday",G30="Public holiday"),0,H30)</f>
        <v>7.1</v>
      </c>
      <c r="J30" s="8">
        <f>SUMIFS($I$2:$I$149,$C$2:$C$149,C30,$B$2:$B$149,B30,$A$2:$A$149,"&lt;"&amp;A30)</f>
        <v>17.6</v>
      </c>
      <c r="K30" s="8">
        <f>MAX(0,MIN(I30,OrdHours-J30))</f>
        <v>7.1</v>
      </c>
      <c r="L30" s="8">
        <f>I30-K30</f>
        <v>0</v>
      </c>
      <c r="M30" s="8">
        <f>IF(G30="Sunday",H30,0)</f>
        <v>0</v>
      </c>
      <c r="N30" s="8">
        <f>IF(G30="Public holiday",H30,0)</f>
        <v>0</v>
      </c>
      <c r="O30" s="9">
        <f>INDEX(StaffRates,MATCH(C30,StaffNames,0))</f>
        <v>27.9</v>
      </c>
      <c r="P30" s="9">
        <f>ROUND(O30*(K30*IF(G30="Saturday",SatRate,1)+L30*OTRate+M30*SunRate+N30*PHRate),2)</f>
        <v>198.09</v>
      </c>
      <c r="Q30" s="9">
        <f>ROUND(O30*L30*OTRate,2)</f>
        <v>0</v>
      </c>
      <c r="R30">
        <f>TRIM(IF(E30="","No finish time ","")&amp;IF(H30&gt;MaxShift,"Shift over limit ","")&amp;IF(AND(H30&gt;5,F30&lt;MinBreak),"Short break ",""))</f>
      </c>
    </row>
    <row r="31">
      <c r="A31" s="4" t="n">
        <v>46325</v>
      </c>
      <c r="B31" s="5">
        <f>A31-WEEKDAY(A31,3)</f>
        <v>46321.0</v>
      </c>
      <c r="C31" s="6" t="inlineStr">
        <is>
          <t>Felix Nguyen</t>
        </is>
      </c>
      <c r="D31" s="7" t="n">
        <v>0.4583333333333333</v>
      </c>
      <c r="E31" s="7" t="n">
        <v>0.625</v>
      </c>
      <c r="F31" s="6" t="n">
        <v>0</v>
      </c>
      <c r="G31" t="str">
        <f>IF(COUNTIF(Holidays,A31)&gt;0,"Public holiday",IF(WEEKDAY(A31,2)=7,"Sunday",IF(WEEKDAY(A31,2)=6,"Saturday","Weekday")))</f>
        <v>Weekday</v>
      </c>
      <c r="H31" s="8">
        <f>IF(OR(D31="",E31=""),0,ROUND(MOD(E31-D31,1)*24-F31/60,2))</f>
        <v>4</v>
      </c>
      <c r="I31" s="8">
        <f>IF(OR(G31="Sunday",G31="Public holiday"),0,H31)</f>
        <v>4</v>
      </c>
      <c r="J31" s="8">
        <f>SUMIFS($I$2:$I$149,$C$2:$C$149,C31,$B$2:$B$149,B31,$A$2:$A$149,"&lt;"&amp;A31)</f>
        <v>16.1</v>
      </c>
      <c r="K31" s="8">
        <f>MAX(0,MIN(I31,OrdHours-J31))</f>
        <v>4</v>
      </c>
      <c r="L31" s="8">
        <f>I31-K31</f>
        <v>0</v>
      </c>
      <c r="M31" s="8">
        <f>IF(G31="Sunday",H31,0)</f>
        <v>0</v>
      </c>
      <c r="N31" s="8">
        <f>IF(G31="Public holiday",H31,0)</f>
        <v>0</v>
      </c>
      <c r="O31" s="9">
        <f>INDEX(StaffRates,MATCH(C31,StaffNames,0))</f>
        <v>27.9</v>
      </c>
      <c r="P31" s="9">
        <f>ROUND(O31*(K31*IF(G31="Saturday",SatRate,1)+L31*OTRate+M31*SunRate+N31*PHRate),2)</f>
        <v>111.6</v>
      </c>
      <c r="Q31" s="9">
        <f>ROUND(O31*L31*OTRate,2)</f>
        <v>0</v>
      </c>
      <c r="R31">
        <f>TRIM(IF(E31="","No finish time ","")&amp;IF(H31&gt;MaxShift,"Shift over limit ","")&amp;IF(AND(H31&gt;5,F31&lt;MinBreak),"Short break ",""))</f>
      </c>
    </row>
    <row r="32">
      <c r="A32" s="4" t="n">
        <v>46325</v>
      </c>
      <c r="B32" s="5">
        <f>A32-WEEKDAY(A32,3)</f>
        <v>46321.0</v>
      </c>
      <c r="C32" s="6" t="inlineStr">
        <is>
          <t>Gia Marchant</t>
        </is>
      </c>
      <c r="D32" s="7" t="n">
        <v>0.3333333333333333</v>
      </c>
      <c r="E32" s="7" t="n">
        <v>0.7083333333333334</v>
      </c>
      <c r="F32" s="6" t="n">
        <v>30</v>
      </c>
      <c r="G32" t="str">
        <f>IF(COUNTIF(Holidays,A32)&gt;0,"Public holiday",IF(WEEKDAY(A32,2)=7,"Sunday",IF(WEEKDAY(A32,2)=6,"Saturday","Weekday")))</f>
        <v>Weekday</v>
      </c>
      <c r="H32" s="8">
        <f>IF(OR(D32="",E32=""),0,ROUND(MOD(E32-D32,1)*24-F32/60,2))</f>
        <v>8.5</v>
      </c>
      <c r="I32" s="8">
        <f>IF(OR(G32="Sunday",G32="Public holiday"),0,H32)</f>
        <v>8.5</v>
      </c>
      <c r="J32" s="8">
        <f>SUMIFS($I$2:$I$149,$C$2:$C$149,C32,$B$2:$B$149,B32,$A$2:$A$149,"&lt;"&amp;A32)</f>
        <v>24</v>
      </c>
      <c r="K32" s="8">
        <f>MAX(0,MIN(I32,OrdHours-J32))</f>
        <v>8.5</v>
      </c>
      <c r="L32" s="8">
        <f>I32-K32</f>
        <v>0</v>
      </c>
      <c r="M32" s="8">
        <f>IF(G32="Sunday",H32,0)</f>
        <v>0</v>
      </c>
      <c r="N32" s="8">
        <f>IF(G32="Public holiday",H32,0)</f>
        <v>0</v>
      </c>
      <c r="O32" s="9">
        <f>INDEX(StaffRates,MATCH(C32,StaffNames,0))</f>
        <v>29.6</v>
      </c>
      <c r="P32" s="9">
        <f>ROUND(O32*(K32*IF(G32="Saturday",SatRate,1)+L32*OTRate+M32*SunRate+N32*PHRate),2)</f>
        <v>251.6</v>
      </c>
      <c r="Q32" s="9">
        <f>ROUND(O32*L32*OTRate,2)</f>
        <v>0</v>
      </c>
      <c r="R32">
        <f>TRIM(IF(E32="","No finish time ","")&amp;IF(H32&gt;MaxShift,"Shift over limit ","")&amp;IF(AND(H32&gt;5,F32&lt;MinBreak),"Short break ",""))</f>
      </c>
    </row>
    <row r="33">
      <c r="A33" s="4" t="n">
        <v>46325</v>
      </c>
      <c r="B33" s="5">
        <f>A33-WEEKDAY(A33,3)</f>
        <v>46321.0</v>
      </c>
      <c r="C33" s="6" t="inlineStr">
        <is>
          <t>Hugo Brandt</t>
        </is>
      </c>
      <c r="D33" s="7" t="n">
        <v>0.8958333333333334</v>
      </c>
      <c r="E33" s="7" t="n">
        <v>0.1041666666666667</v>
      </c>
      <c r="F33" s="6" t="n">
        <v>0</v>
      </c>
      <c r="G33" t="str">
        <f>IF(COUNTIF(Holidays,A33)&gt;0,"Public holiday",IF(WEEKDAY(A33,2)=7,"Sunday",IF(WEEKDAY(A33,2)=6,"Saturday","Weekday")))</f>
        <v>Weekday</v>
      </c>
      <c r="H33" s="8">
        <f>IF(OR(D33="",E33=""),0,ROUND(MOD(E33-D33,1)*24-F33/60,2))</f>
        <v>5</v>
      </c>
      <c r="I33" s="8">
        <f>IF(OR(G33="Sunday",G33="Public holiday"),0,H33)</f>
        <v>5</v>
      </c>
      <c r="J33" s="8">
        <f>SUMIFS($I$2:$I$149,$C$2:$C$149,C33,$B$2:$B$149,B33,$A$2:$A$149,"&lt;"&amp;A33)</f>
        <v>14</v>
      </c>
      <c r="K33" s="8">
        <f>MAX(0,MIN(I33,OrdHours-J33))</f>
        <v>5</v>
      </c>
      <c r="L33" s="8">
        <f>I33-K33</f>
        <v>0</v>
      </c>
      <c r="M33" s="8">
        <f>IF(G33="Sunday",H33,0)</f>
        <v>0</v>
      </c>
      <c r="N33" s="8">
        <f>IF(G33="Public holiday",H33,0)</f>
        <v>0</v>
      </c>
      <c r="O33" s="9">
        <f>INDEX(StaffRates,MATCH(C33,StaffNames,0))</f>
        <v>35.4</v>
      </c>
      <c r="P33" s="9">
        <f>ROUND(O33*(K33*IF(G33="Saturday",SatRate,1)+L33*OTRate+M33*SunRate+N33*PHRate),2)</f>
        <v>177</v>
      </c>
      <c r="Q33" s="9">
        <f>ROUND(O33*L33*OTRate,2)</f>
        <v>0</v>
      </c>
      <c r="R33">
        <f>TRIM(IF(E33="","No finish time ","")&amp;IF(H33&gt;MaxShift,"Shift over limit ","")&amp;IF(AND(H33&gt;5,F33&lt;MinBreak),"Short break ",""))</f>
      </c>
    </row>
    <row r="34">
      <c r="A34" s="4" t="n">
        <v>46326</v>
      </c>
      <c r="B34" s="5">
        <f>A34-WEEKDAY(A34,3)</f>
        <v>46321.0</v>
      </c>
      <c r="C34" s="6" t="inlineStr">
        <is>
          <t>Ben Okafor</t>
        </is>
      </c>
      <c r="D34" s="7" t="n">
        <v>0.1666666666666667</v>
      </c>
      <c r="E34" s="7" t="n">
        <v>0.5833333333333334</v>
      </c>
      <c r="F34" s="6" t="n">
        <v>30</v>
      </c>
      <c r="G34" t="str">
        <f>IF(COUNTIF(Holidays,A34)&gt;0,"Public holiday",IF(WEEKDAY(A34,2)=7,"Sunday",IF(WEEKDAY(A34,2)=6,"Saturday","Weekday")))</f>
        <v>Saturday</v>
      </c>
      <c r="H34" s="8">
        <f>IF(OR(D34="",E34=""),0,ROUND(MOD(E34-D34,1)*24-F34/60,2))</f>
        <v>9.5</v>
      </c>
      <c r="I34" s="8">
        <f>IF(OR(G34="Sunday",G34="Public holiday"),0,H34)</f>
        <v>9.5</v>
      </c>
      <c r="J34" s="8">
        <f>SUMIFS($I$2:$I$149,$C$2:$C$149,C34,$B$2:$B$149,B34,$A$2:$A$149,"&lt;"&amp;A34)</f>
        <v>43</v>
      </c>
      <c r="K34" s="8">
        <f>MAX(0,MIN(I34,OrdHours-J34))</f>
        <v>0</v>
      </c>
      <c r="L34" s="8">
        <f>I34-K34</f>
        <v>9.5</v>
      </c>
      <c r="M34" s="8">
        <f>IF(G34="Sunday",H34,0)</f>
        <v>0</v>
      </c>
      <c r="N34" s="8">
        <f>IF(G34="Public holiday",H34,0)</f>
        <v>0</v>
      </c>
      <c r="O34" s="9">
        <f>INDEX(StaffRates,MATCH(C34,StaffNames,0))</f>
        <v>33.1</v>
      </c>
      <c r="P34" s="9">
        <f>ROUND(O34*(K34*IF(G34="Saturday",SatRate,1)+L34*OTRate+M34*SunRate+N34*PHRate),2)</f>
        <v>471.68</v>
      </c>
      <c r="Q34" s="9">
        <f>ROUND(O34*L34*OTRate,2)</f>
        <v>471.68</v>
      </c>
      <c r="R34">
        <f>TRIM(IF(E34="","No finish time ","")&amp;IF(H34&gt;MaxShift,"Shift over limit ","")&amp;IF(AND(H34&gt;5,F34&lt;MinBreak),"Short break ",""))</f>
      </c>
    </row>
    <row r="35">
      <c r="A35" s="4" t="n">
        <v>46326</v>
      </c>
      <c r="B35" s="5">
        <f>A35-WEEKDAY(A35,3)</f>
        <v>46321.0</v>
      </c>
      <c r="C35" s="6" t="inlineStr">
        <is>
          <t>Cara Delmonte</t>
        </is>
      </c>
      <c r="D35" s="7" t="n">
        <v>0.2083333333333333</v>
      </c>
      <c r="E35" s="7" t="n">
        <v>0.6041666666666666</v>
      </c>
      <c r="F35" s="6" t="n">
        <v>30</v>
      </c>
      <c r="G35" t="str">
        <f>IF(COUNTIF(Holidays,A35)&gt;0,"Public holiday",IF(WEEKDAY(A35,2)=7,"Sunday",IF(WEEKDAY(A35,2)=6,"Saturday","Weekday")))</f>
        <v>Saturday</v>
      </c>
      <c r="H35" s="8">
        <f>IF(OR(D35="",E35=""),0,ROUND(MOD(E35-D35,1)*24-F35/60,2))</f>
        <v>9</v>
      </c>
      <c r="I35" s="8">
        <f>IF(OR(G35="Sunday",G35="Public holiday"),0,H35)</f>
        <v>9</v>
      </c>
      <c r="J35" s="8">
        <f>SUMIFS($I$2:$I$149,$C$2:$C$149,C35,$B$2:$B$149,B35,$A$2:$A$149,"&lt;"&amp;A35)</f>
        <v>45.25</v>
      </c>
      <c r="K35" s="8">
        <f>MAX(0,MIN(I35,OrdHours-J35))</f>
        <v>0</v>
      </c>
      <c r="L35" s="8">
        <f>I35-K35</f>
        <v>9</v>
      </c>
      <c r="M35" s="8">
        <f>IF(G35="Sunday",H35,0)</f>
        <v>0</v>
      </c>
      <c r="N35" s="8">
        <f>IF(G35="Public holiday",H35,0)</f>
        <v>0</v>
      </c>
      <c r="O35" s="9">
        <f>INDEX(StaffRates,MATCH(C35,StaffNames,0))</f>
        <v>36.2</v>
      </c>
      <c r="P35" s="9">
        <f>ROUND(O35*(K35*IF(G35="Saturday",SatRate,1)+L35*OTRate+M35*SunRate+N35*PHRate),2)</f>
        <v>488.7</v>
      </c>
      <c r="Q35" s="9">
        <f>ROUND(O35*L35*OTRate,2)</f>
        <v>488.7</v>
      </c>
      <c r="R35">
        <f>TRIM(IF(E35="","No finish time ","")&amp;IF(H35&gt;MaxShift,"Shift over limit ","")&amp;IF(AND(H35&gt;5,F35&lt;MinBreak),"Short break ",""))</f>
      </c>
    </row>
    <row r="36">
      <c r="A36" s="4" t="n">
        <v>46326</v>
      </c>
      <c r="B36" s="5">
        <f>A36-WEEKDAY(A36,3)</f>
        <v>46321.0</v>
      </c>
      <c r="C36" s="6" t="inlineStr">
        <is>
          <t>Dylan Fraser</t>
        </is>
      </c>
      <c r="D36" s="7" t="n">
        <v>0.2708333333333333</v>
      </c>
      <c r="E36" s="7" t="n">
        <v>0.4791666666666667</v>
      </c>
      <c r="F36" s="6" t="n">
        <v>0</v>
      </c>
      <c r="G36" t="str">
        <f>IF(COUNTIF(Holidays,A36)&gt;0,"Public holiday",IF(WEEKDAY(A36,2)=7,"Sunday",IF(WEEKDAY(A36,2)=6,"Saturday","Weekday")))</f>
        <v>Saturday</v>
      </c>
      <c r="H36" s="8">
        <f>IF(OR(D36="",E36=""),0,ROUND(MOD(E36-D36,1)*24-F36/60,2))</f>
        <v>5</v>
      </c>
      <c r="I36" s="8">
        <f>IF(OR(G36="Sunday",G36="Public holiday"),0,H36)</f>
        <v>5</v>
      </c>
      <c r="J36" s="8">
        <f>SUMIFS($I$2:$I$149,$C$2:$C$149,C36,$B$2:$B$149,B36,$A$2:$A$149,"&lt;"&amp;A36)</f>
        <v>20</v>
      </c>
      <c r="K36" s="8">
        <f>MAX(0,MIN(I36,OrdHours-J36))</f>
        <v>5</v>
      </c>
      <c r="L36" s="8">
        <f>I36-K36</f>
        <v>0</v>
      </c>
      <c r="M36" s="8">
        <f>IF(G36="Sunday",H36,0)</f>
        <v>0</v>
      </c>
      <c r="N36" s="8">
        <f>IF(G36="Public holiday",H36,0)</f>
        <v>0</v>
      </c>
      <c r="O36" s="9">
        <f>INDEX(StaffRates,MATCH(C36,StaffNames,0))</f>
        <v>29.6</v>
      </c>
      <c r="P36" s="9">
        <f>ROUND(O36*(K36*IF(G36="Saturday",SatRate,1)+L36*OTRate+M36*SunRate+N36*PHRate),2)</f>
        <v>185</v>
      </c>
      <c r="Q36" s="9">
        <f>ROUND(O36*L36*OTRate,2)</f>
        <v>0</v>
      </c>
      <c r="R36">
        <f>TRIM(IF(E36="","No finish time ","")&amp;IF(H36&gt;MaxShift,"Shift over limit ","")&amp;IF(AND(H36&gt;5,F36&lt;MinBreak),"Short break ",""))</f>
      </c>
    </row>
    <row r="37">
      <c r="A37" s="4" t="n">
        <v>46326</v>
      </c>
      <c r="B37" s="5">
        <f>A37-WEEKDAY(A37,3)</f>
        <v>46321.0</v>
      </c>
      <c r="C37" s="6" t="inlineStr">
        <is>
          <t>Felix Nguyen</t>
        </is>
      </c>
      <c r="D37" s="7" t="n">
        <v>0.4791666666666667</v>
      </c>
      <c r="E37" s="7" t="n">
        <v>0.7958333333333333</v>
      </c>
      <c r="F37" s="6" t="n">
        <v>30</v>
      </c>
      <c r="G37" t="str">
        <f>IF(COUNTIF(Holidays,A37)&gt;0,"Public holiday",IF(WEEKDAY(A37,2)=7,"Sunday",IF(WEEKDAY(A37,2)=6,"Saturday","Weekday")))</f>
        <v>Saturday</v>
      </c>
      <c r="H37" s="8">
        <f>IF(OR(D37="",E37=""),0,ROUND(MOD(E37-D37,1)*24-F37/60,2))</f>
        <v>7.1</v>
      </c>
      <c r="I37" s="8">
        <f>IF(OR(G37="Sunday",G37="Public holiday"),0,H37)</f>
        <v>7.1</v>
      </c>
      <c r="J37" s="8">
        <f>SUMIFS($I$2:$I$149,$C$2:$C$149,C37,$B$2:$B$149,B37,$A$2:$A$149,"&lt;"&amp;A37)</f>
        <v>20.1</v>
      </c>
      <c r="K37" s="8">
        <f>MAX(0,MIN(I37,OrdHours-J37))</f>
        <v>7.1</v>
      </c>
      <c r="L37" s="8">
        <f>I37-K37</f>
        <v>0</v>
      </c>
      <c r="M37" s="8">
        <f>IF(G37="Sunday",H37,0)</f>
        <v>0</v>
      </c>
      <c r="N37" s="8">
        <f>IF(G37="Public holiday",H37,0)</f>
        <v>0</v>
      </c>
      <c r="O37" s="9">
        <f>INDEX(StaffRates,MATCH(C37,StaffNames,0))</f>
        <v>27.9</v>
      </c>
      <c r="P37" s="9">
        <f>ROUND(O37*(K37*IF(G37="Saturday",SatRate,1)+L37*OTRate+M37*SunRate+N37*PHRate),2)</f>
        <v>247.61</v>
      </c>
      <c r="Q37" s="9">
        <f>ROUND(O37*L37*OTRate,2)</f>
        <v>0</v>
      </c>
      <c r="R37">
        <f>TRIM(IF(E37="","No finish time ","")&amp;IF(H37&gt;MaxShift,"Shift over limit ","")&amp;IF(AND(H37&gt;5,F37&lt;MinBreak),"Short break ",""))</f>
      </c>
    </row>
    <row r="38">
      <c r="A38" s="4" t="n">
        <v>46326</v>
      </c>
      <c r="B38" s="5">
        <f>A38-WEEKDAY(A38,3)</f>
        <v>46321.0</v>
      </c>
      <c r="C38" s="6" t="inlineStr">
        <is>
          <t>Hugo Brandt</t>
        </is>
      </c>
      <c r="D38" s="7" t="n">
        <v>0.8958333333333334</v>
      </c>
      <c r="E38" s="7" t="n">
        <v>0.1458333333333333</v>
      </c>
      <c r="F38" s="6" t="n">
        <v>15</v>
      </c>
      <c r="G38" t="str">
        <f>IF(COUNTIF(Holidays,A38)&gt;0,"Public holiday",IF(WEEKDAY(A38,2)=7,"Sunday",IF(WEEKDAY(A38,2)=6,"Saturday","Weekday")))</f>
        <v>Saturday</v>
      </c>
      <c r="H38" s="8">
        <f>IF(OR(D38="",E38=""),0,ROUND(MOD(E38-D38,1)*24-F38/60,2))</f>
        <v>5.75</v>
      </c>
      <c r="I38" s="8">
        <f>IF(OR(G38="Sunday",G38="Public holiday"),0,H38)</f>
        <v>5.75</v>
      </c>
      <c r="J38" s="8">
        <f>SUMIFS($I$2:$I$149,$C$2:$C$149,C38,$B$2:$B$149,B38,$A$2:$A$149,"&lt;"&amp;A38)</f>
        <v>19</v>
      </c>
      <c r="K38" s="8">
        <f>MAX(0,MIN(I38,OrdHours-J38))</f>
        <v>5.75</v>
      </c>
      <c r="L38" s="8">
        <f>I38-K38</f>
        <v>0</v>
      </c>
      <c r="M38" s="8">
        <f>IF(G38="Sunday",H38,0)</f>
        <v>0</v>
      </c>
      <c r="N38" s="8">
        <f>IF(G38="Public holiday",H38,0)</f>
        <v>0</v>
      </c>
      <c r="O38" s="9">
        <f>INDEX(StaffRates,MATCH(C38,StaffNames,0))</f>
        <v>35.4</v>
      </c>
      <c r="P38" s="9">
        <f>ROUND(O38*(K38*IF(G38="Saturday",SatRate,1)+L38*OTRate+M38*SunRate+N38*PHRate),2)</f>
        <v>254.44</v>
      </c>
      <c r="Q38" s="9">
        <f>ROUND(O38*L38*OTRate,2)</f>
        <v>0</v>
      </c>
      <c r="R38" t="str">
        <f>TRIM(IF(E38="","No finish time ","")&amp;IF(H38&gt;MaxShift,"Shift over limit ","")&amp;IF(AND(H38&gt;5,F38&lt;MinBreak),"Short break ",""))</f>
        <v>Short break</v>
      </c>
    </row>
    <row r="39">
      <c r="A39" s="4" t="n">
        <v>46327</v>
      </c>
      <c r="B39" s="5">
        <f>A39-WEEKDAY(A39,3)</f>
        <v>46321.0</v>
      </c>
      <c r="C39" s="6" t="inlineStr">
        <is>
          <t>Ava Kingsley</t>
        </is>
      </c>
      <c r="D39" s="7" t="n">
        <v>0.2291666666666667</v>
      </c>
      <c r="E39" s="7" t="n">
        <v>0.625</v>
      </c>
      <c r="F39" s="6" t="n">
        <v>30</v>
      </c>
      <c r="G39" t="str">
        <f>IF(COUNTIF(Holidays,A39)&gt;0,"Public holiday",IF(WEEKDAY(A39,2)=7,"Sunday",IF(WEEKDAY(A39,2)=6,"Saturday","Weekday")))</f>
        <v>Sunday</v>
      </c>
      <c r="H39" s="8">
        <f>IF(OR(D39="",E39=""),0,ROUND(MOD(E39-D39,1)*24-F39/60,2))</f>
        <v>9</v>
      </c>
      <c r="I39" s="8">
        <f>IF(OR(G39="Sunday",G39="Public holiday"),0,H39)</f>
        <v>0</v>
      </c>
      <c r="J39" s="8">
        <f>SUMIFS($I$2:$I$149,$C$2:$C$149,C39,$B$2:$B$149,B39,$A$2:$A$149,"&lt;"&amp;A39)</f>
        <v>25.5</v>
      </c>
      <c r="K39" s="8">
        <f>MAX(0,MIN(I39,OrdHours-J39))</f>
        <v>0</v>
      </c>
      <c r="L39" s="8">
        <f>I39-K39</f>
        <v>0</v>
      </c>
      <c r="M39" s="8">
        <f>IF(G39="Sunday",H39,0)</f>
        <v>9</v>
      </c>
      <c r="N39" s="8">
        <f>IF(G39="Public holiday",H39,0)</f>
        <v>0</v>
      </c>
      <c r="O39" s="9">
        <f>INDEX(StaffRates,MATCH(C39,StaffNames,0))</f>
        <v>34.8</v>
      </c>
      <c r="P39" s="9">
        <f>ROUND(O39*(K39*IF(G39="Saturday",SatRate,1)+L39*OTRate+M39*SunRate+N39*PHRate),2)</f>
        <v>469.8</v>
      </c>
      <c r="Q39" s="9">
        <f>ROUND(O39*L39*OTRate,2)</f>
        <v>0</v>
      </c>
      <c r="R39">
        <f>TRIM(IF(E39="","No finish time ","")&amp;IF(H39&gt;MaxShift,"Shift over limit ","")&amp;IF(AND(H39&gt;5,F39&lt;MinBreak),"Short break ",""))</f>
      </c>
    </row>
    <row r="40">
      <c r="A40" s="4" t="n">
        <v>46327</v>
      </c>
      <c r="B40" s="5">
        <f>A40-WEEKDAY(A40,3)</f>
        <v>46321.0</v>
      </c>
      <c r="C40" s="6" t="inlineStr">
        <is>
          <t>Cara Delmonte</t>
        </is>
      </c>
      <c r="D40" s="7" t="n">
        <v>0.2083333333333333</v>
      </c>
      <c r="E40" s="7" t="n">
        <v>0.6041666666666666</v>
      </c>
      <c r="F40" s="6" t="n">
        <v>30</v>
      </c>
      <c r="G40" t="str">
        <f>IF(COUNTIF(Holidays,A40)&gt;0,"Public holiday",IF(WEEKDAY(A40,2)=7,"Sunday",IF(WEEKDAY(A40,2)=6,"Saturday","Weekday")))</f>
        <v>Sunday</v>
      </c>
      <c r="H40" s="8">
        <f>IF(OR(D40="",E40=""),0,ROUND(MOD(E40-D40,1)*24-F40/60,2))</f>
        <v>9</v>
      </c>
      <c r="I40" s="8">
        <f>IF(OR(G40="Sunday",G40="Public holiday"),0,H40)</f>
        <v>0</v>
      </c>
      <c r="J40" s="8">
        <f>SUMIFS($I$2:$I$149,$C$2:$C$149,C40,$B$2:$B$149,B40,$A$2:$A$149,"&lt;"&amp;A40)</f>
        <v>54.25</v>
      </c>
      <c r="K40" s="8">
        <f>MAX(0,MIN(I40,OrdHours-J40))</f>
        <v>0</v>
      </c>
      <c r="L40" s="8">
        <f>I40-K40</f>
        <v>0</v>
      </c>
      <c r="M40" s="8">
        <f>IF(G40="Sunday",H40,0)</f>
        <v>9</v>
      </c>
      <c r="N40" s="8">
        <f>IF(G40="Public holiday",H40,0)</f>
        <v>0</v>
      </c>
      <c r="O40" s="9">
        <f>INDEX(StaffRates,MATCH(C40,StaffNames,0))</f>
        <v>36.2</v>
      </c>
      <c r="P40" s="9">
        <f>ROUND(O40*(K40*IF(G40="Saturday",SatRate,1)+L40*OTRate+M40*SunRate+N40*PHRate),2)</f>
        <v>488.7</v>
      </c>
      <c r="Q40" s="9">
        <f>ROUND(O40*L40*OTRate,2)</f>
        <v>0</v>
      </c>
      <c r="R40">
        <f>TRIM(IF(E40="","No finish time ","")&amp;IF(H40&gt;MaxShift,"Shift over limit ","")&amp;IF(AND(H40&gt;5,F40&lt;MinBreak),"Short break ",""))</f>
      </c>
    </row>
    <row r="41">
      <c r="A41" s="4" t="n">
        <v>46327</v>
      </c>
      <c r="B41" s="5">
        <f>A41-WEEKDAY(A41,3)</f>
        <v>46321.0</v>
      </c>
      <c r="C41" s="6" t="inlineStr">
        <is>
          <t>Felix Nguyen</t>
        </is>
      </c>
      <c r="D41" s="7" t="n">
        <v>0.4375</v>
      </c>
      <c r="E41" s="7" t="n">
        <v>0.6041666666666666</v>
      </c>
      <c r="F41" s="6" t="n">
        <v>0</v>
      </c>
      <c r="G41" t="str">
        <f>IF(COUNTIF(Holidays,A41)&gt;0,"Public holiday",IF(WEEKDAY(A41,2)=7,"Sunday",IF(WEEKDAY(A41,2)=6,"Saturday","Weekday")))</f>
        <v>Sunday</v>
      </c>
      <c r="H41" s="8">
        <f>IF(OR(D41="",E41=""),0,ROUND(MOD(E41-D41,1)*24-F41/60,2))</f>
        <v>4</v>
      </c>
      <c r="I41" s="8">
        <f>IF(OR(G41="Sunday",G41="Public holiday"),0,H41)</f>
        <v>0</v>
      </c>
      <c r="J41" s="8">
        <f>SUMIFS($I$2:$I$149,$C$2:$C$149,C41,$B$2:$B$149,B41,$A$2:$A$149,"&lt;"&amp;A41)</f>
        <v>27.2</v>
      </c>
      <c r="K41" s="8">
        <f>MAX(0,MIN(I41,OrdHours-J41))</f>
        <v>0</v>
      </c>
      <c r="L41" s="8">
        <f>I41-K41</f>
        <v>0</v>
      </c>
      <c r="M41" s="8">
        <f>IF(G41="Sunday",H41,0)</f>
        <v>4</v>
      </c>
      <c r="N41" s="8">
        <f>IF(G41="Public holiday",H41,0)</f>
        <v>0</v>
      </c>
      <c r="O41" s="9">
        <f>INDEX(StaffRates,MATCH(C41,StaffNames,0))</f>
        <v>27.9</v>
      </c>
      <c r="P41" s="9">
        <f>ROUND(O41*(K41*IF(G41="Saturday",SatRate,1)+L41*OTRate+M41*SunRate+N41*PHRate),2)</f>
        <v>167.4</v>
      </c>
      <c r="Q41" s="9">
        <f>ROUND(O41*L41*OTRate,2)</f>
        <v>0</v>
      </c>
      <c r="R41">
        <f>TRIM(IF(E41="","No finish time ","")&amp;IF(H41&gt;MaxShift,"Shift over limit ","")&amp;IF(AND(H41&gt;5,F41&lt;MinBreak),"Short break ",""))</f>
      </c>
    </row>
    <row r="42">
      <c r="A42" s="4" t="n">
        <v>46327</v>
      </c>
      <c r="B42" s="5">
        <f>A42-WEEKDAY(A42,3)</f>
        <v>46321.0</v>
      </c>
      <c r="C42" s="6" t="inlineStr">
        <is>
          <t>Gia Marchant</t>
        </is>
      </c>
      <c r="D42" s="7" t="n">
        <v>0.3125</v>
      </c>
      <c r="E42" s="7" t="n">
        <v>0.6458333333333334</v>
      </c>
      <c r="F42" s="6" t="n">
        <v>30</v>
      </c>
      <c r="G42" t="str">
        <f>IF(COUNTIF(Holidays,A42)&gt;0,"Public holiday",IF(WEEKDAY(A42,2)=7,"Sunday",IF(WEEKDAY(A42,2)=6,"Saturday","Weekday")))</f>
        <v>Sunday</v>
      </c>
      <c r="H42" s="8">
        <f>IF(OR(D42="",E42=""),0,ROUND(MOD(E42-D42,1)*24-F42/60,2))</f>
        <v>7.5</v>
      </c>
      <c r="I42" s="8">
        <f>IF(OR(G42="Sunday",G42="Public holiday"),0,H42)</f>
        <v>0</v>
      </c>
      <c r="J42" s="8">
        <f>SUMIFS($I$2:$I$149,$C$2:$C$149,C42,$B$2:$B$149,B42,$A$2:$A$149,"&lt;"&amp;A42)</f>
        <v>32.5</v>
      </c>
      <c r="K42" s="8">
        <f>MAX(0,MIN(I42,OrdHours-J42))</f>
        <v>0</v>
      </c>
      <c r="L42" s="8">
        <f>I42-K42</f>
        <v>0</v>
      </c>
      <c r="M42" s="8">
        <f>IF(G42="Sunday",H42,0)</f>
        <v>7.5</v>
      </c>
      <c r="N42" s="8">
        <f>IF(G42="Public holiday",H42,0)</f>
        <v>0</v>
      </c>
      <c r="O42" s="9">
        <f>INDEX(StaffRates,MATCH(C42,StaffNames,0))</f>
        <v>29.6</v>
      </c>
      <c r="P42" s="9">
        <f>ROUND(O42*(K42*IF(G42="Saturday",SatRate,1)+L42*OTRate+M42*SunRate+N42*PHRate),2)</f>
        <v>333</v>
      </c>
      <c r="Q42" s="9">
        <f>ROUND(O42*L42*OTRate,2)</f>
        <v>0</v>
      </c>
      <c r="R42">
        <f>TRIM(IF(E42="","No finish time ","")&amp;IF(H42&gt;MaxShift,"Shift over limit ","")&amp;IF(AND(H42&gt;5,F42&lt;MinBreak),"Short break ",""))</f>
      </c>
    </row>
    <row r="43">
      <c r="A43" s="4" t="n">
        <v>46328</v>
      </c>
      <c r="B43" s="5">
        <f>A43-WEEKDAY(A43,3)</f>
        <v>46328.0</v>
      </c>
      <c r="C43" s="6" t="inlineStr">
        <is>
          <t>Ben Okafor</t>
        </is>
      </c>
      <c r="D43" s="7" t="n">
        <v>0.1666666666666667</v>
      </c>
      <c r="E43" s="7" t="n">
        <v>0.5208333333333334</v>
      </c>
      <c r="F43" s="6" t="n">
        <v>30</v>
      </c>
      <c r="G43" t="str">
        <f>IF(COUNTIF(Holidays,A43)&gt;0,"Public holiday",IF(WEEKDAY(A43,2)=7,"Sunday",IF(WEEKDAY(A43,2)=6,"Saturday","Weekday")))</f>
        <v>Weekday</v>
      </c>
      <c r="H43" s="8">
        <f>IF(OR(D43="",E43=""),0,ROUND(MOD(E43-D43,1)*24-F43/60,2))</f>
        <v>8</v>
      </c>
      <c r="I43" s="8">
        <f>IF(OR(G43="Sunday",G43="Public holiday"),0,H43)</f>
        <v>8</v>
      </c>
      <c r="J43" s="8">
        <f>SUMIFS($I$2:$I$149,$C$2:$C$149,C43,$B$2:$B$149,B43,$A$2:$A$149,"&lt;"&amp;A43)</f>
        <v>0</v>
      </c>
      <c r="K43" s="8">
        <f>MAX(0,MIN(I43,OrdHours-J43))</f>
        <v>8</v>
      </c>
      <c r="L43" s="8">
        <f>I43-K43</f>
        <v>0</v>
      </c>
      <c r="M43" s="8">
        <f>IF(G43="Sunday",H43,0)</f>
        <v>0</v>
      </c>
      <c r="N43" s="8">
        <f>IF(G43="Public holiday",H43,0)</f>
        <v>0</v>
      </c>
      <c r="O43" s="9">
        <f>INDEX(StaffRates,MATCH(C43,StaffNames,0))</f>
        <v>33.1</v>
      </c>
      <c r="P43" s="9">
        <f>ROUND(O43*(K43*IF(G43="Saturday",SatRate,1)+L43*OTRate+M43*SunRate+N43*PHRate),2)</f>
        <v>264.8</v>
      </c>
      <c r="Q43" s="9">
        <f>ROUND(O43*L43*OTRate,2)</f>
        <v>0</v>
      </c>
      <c r="R43">
        <f>TRIM(IF(E43="","No finish time ","")&amp;IF(H43&gt;MaxShift,"Shift over limit ","")&amp;IF(AND(H43&gt;5,F43&lt;MinBreak),"Short break ",""))</f>
      </c>
    </row>
    <row r="44">
      <c r="A44" s="4" t="n">
        <v>46328</v>
      </c>
      <c r="B44" s="5">
        <f>A44-WEEKDAY(A44,3)</f>
        <v>46328.0</v>
      </c>
      <c r="C44" s="6" t="inlineStr">
        <is>
          <t>Cara Delmonte</t>
        </is>
      </c>
      <c r="D44" s="7" t="n">
        <v>0.1875</v>
      </c>
      <c r="E44" s="7" t="n">
        <v>0.5416666666666666</v>
      </c>
      <c r="F44" s="6" t="n">
        <v>30</v>
      </c>
      <c r="G44" t="str">
        <f>IF(COUNTIF(Holidays,A44)&gt;0,"Public holiday",IF(WEEKDAY(A44,2)=7,"Sunday",IF(WEEKDAY(A44,2)=6,"Saturday","Weekday")))</f>
        <v>Weekday</v>
      </c>
      <c r="H44" s="8">
        <f>IF(OR(D44="",E44=""),0,ROUND(MOD(E44-D44,1)*24-F44/60,2))</f>
        <v>8</v>
      </c>
      <c r="I44" s="8">
        <f>IF(OR(G44="Sunday",G44="Public holiday"),0,H44)</f>
        <v>8</v>
      </c>
      <c r="J44" s="8">
        <f>SUMIFS($I$2:$I$149,$C$2:$C$149,C44,$B$2:$B$149,B44,$A$2:$A$149,"&lt;"&amp;A44)</f>
        <v>0</v>
      </c>
      <c r="K44" s="8">
        <f>MAX(0,MIN(I44,OrdHours-J44))</f>
        <v>8</v>
      </c>
      <c r="L44" s="8">
        <f>I44-K44</f>
        <v>0</v>
      </c>
      <c r="M44" s="8">
        <f>IF(G44="Sunday",H44,0)</f>
        <v>0</v>
      </c>
      <c r="N44" s="8">
        <f>IF(G44="Public holiday",H44,0)</f>
        <v>0</v>
      </c>
      <c r="O44" s="9">
        <f>INDEX(StaffRates,MATCH(C44,StaffNames,0))</f>
        <v>36.2</v>
      </c>
      <c r="P44" s="9">
        <f>ROUND(O44*(K44*IF(G44="Saturday",SatRate,1)+L44*OTRate+M44*SunRate+N44*PHRate),2)</f>
        <v>289.6</v>
      </c>
      <c r="Q44" s="9">
        <f>ROUND(O44*L44*OTRate,2)</f>
        <v>0</v>
      </c>
      <c r="R44">
        <f>TRIM(IF(E44="","No finish time ","")&amp;IF(H44&gt;MaxShift,"Shift over limit ","")&amp;IF(AND(H44&gt;5,F44&lt;MinBreak),"Short break ",""))</f>
      </c>
    </row>
    <row r="45">
      <c r="A45" s="4" t="n">
        <v>46328</v>
      </c>
      <c r="B45" s="5">
        <f>A45-WEEKDAY(A45,3)</f>
        <v>46328.0</v>
      </c>
      <c r="C45" s="6" t="inlineStr">
        <is>
          <t>Dylan Fraser</t>
        </is>
      </c>
      <c r="D45" s="7" t="n">
        <v>0.2708333333333333</v>
      </c>
      <c r="E45" s="7" t="n">
        <v>0.625</v>
      </c>
      <c r="F45" s="6" t="n">
        <v>30</v>
      </c>
      <c r="G45" t="str">
        <f>IF(COUNTIF(Holidays,A45)&gt;0,"Public holiday",IF(WEEKDAY(A45,2)=7,"Sunday",IF(WEEKDAY(A45,2)=6,"Saturday","Weekday")))</f>
        <v>Weekday</v>
      </c>
      <c r="H45" s="8">
        <f>IF(OR(D45="",E45=""),0,ROUND(MOD(E45-D45,1)*24-F45/60,2))</f>
        <v>8</v>
      </c>
      <c r="I45" s="8">
        <f>IF(OR(G45="Sunday",G45="Public holiday"),0,H45)</f>
        <v>8</v>
      </c>
      <c r="J45" s="8">
        <f>SUMIFS($I$2:$I$149,$C$2:$C$149,C45,$B$2:$B$149,B45,$A$2:$A$149,"&lt;"&amp;A45)</f>
        <v>0</v>
      </c>
      <c r="K45" s="8">
        <f>MAX(0,MIN(I45,OrdHours-J45))</f>
        <v>8</v>
      </c>
      <c r="L45" s="8">
        <f>I45-K45</f>
        <v>0</v>
      </c>
      <c r="M45" s="8">
        <f>IF(G45="Sunday",H45,0)</f>
        <v>0</v>
      </c>
      <c r="N45" s="8">
        <f>IF(G45="Public holiday",H45,0)</f>
        <v>0</v>
      </c>
      <c r="O45" s="9">
        <f>INDEX(StaffRates,MATCH(C45,StaffNames,0))</f>
        <v>29.6</v>
      </c>
      <c r="P45" s="9">
        <f>ROUND(O45*(K45*IF(G45="Saturday",SatRate,1)+L45*OTRate+M45*SunRate+N45*PHRate),2)</f>
        <v>236.8</v>
      </c>
      <c r="Q45" s="9">
        <f>ROUND(O45*L45*OTRate,2)</f>
        <v>0</v>
      </c>
      <c r="R45">
        <f>TRIM(IF(E45="","No finish time ","")&amp;IF(H45&gt;MaxShift,"Shift over limit ","")&amp;IF(AND(H45&gt;5,F45&lt;MinBreak),"Short break ",""))</f>
      </c>
    </row>
    <row r="46">
      <c r="A46" s="4" t="n">
        <v>46328</v>
      </c>
      <c r="B46" s="5">
        <f>A46-WEEKDAY(A46,3)</f>
        <v>46328.0</v>
      </c>
      <c r="C46" s="6" t="inlineStr">
        <is>
          <t>Esme Rowe</t>
        </is>
      </c>
      <c r="D46" s="7" t="n">
        <v>0.2708333333333333</v>
      </c>
      <c r="E46" s="7" t="n">
        <v>0.4791666666666667</v>
      </c>
      <c r="F46" s="6" t="n">
        <v>0</v>
      </c>
      <c r="G46" t="str">
        <f>IF(COUNTIF(Holidays,A46)&gt;0,"Public holiday",IF(WEEKDAY(A46,2)=7,"Sunday",IF(WEEKDAY(A46,2)=6,"Saturday","Weekday")))</f>
        <v>Weekday</v>
      </c>
      <c r="H46" s="8">
        <f>IF(OR(D46="",E46=""),0,ROUND(MOD(E46-D46,1)*24-F46/60,2))</f>
        <v>5</v>
      </c>
      <c r="I46" s="8">
        <f>IF(OR(G46="Sunday",G46="Public holiday"),0,H46)</f>
        <v>5</v>
      </c>
      <c r="J46" s="8">
        <f>SUMIFS($I$2:$I$149,$C$2:$C$149,C46,$B$2:$B$149,B46,$A$2:$A$149,"&lt;"&amp;A46)</f>
        <v>0</v>
      </c>
      <c r="K46" s="8">
        <f>MAX(0,MIN(I46,OrdHours-J46))</f>
        <v>5</v>
      </c>
      <c r="L46" s="8">
        <f>I46-K46</f>
        <v>0</v>
      </c>
      <c r="M46" s="8">
        <f>IF(G46="Sunday",H46,0)</f>
        <v>0</v>
      </c>
      <c r="N46" s="8">
        <f>IF(G46="Public holiday",H46,0)</f>
        <v>0</v>
      </c>
      <c r="O46" s="9">
        <f>INDEX(StaffRates,MATCH(C46,StaffNames,0))</f>
        <v>27.9</v>
      </c>
      <c r="P46" s="9">
        <f>ROUND(O46*(K46*IF(G46="Saturday",SatRate,1)+L46*OTRate+M46*SunRate+N46*PHRate),2)</f>
        <v>139.5</v>
      </c>
      <c r="Q46" s="9">
        <f>ROUND(O46*L46*OTRate,2)</f>
        <v>0</v>
      </c>
      <c r="R46">
        <f>TRIM(IF(E46="","No finish time ","")&amp;IF(H46&gt;MaxShift,"Shift over limit ","")&amp;IF(AND(H46&gt;5,F46&lt;MinBreak),"Short break ",""))</f>
      </c>
    </row>
    <row r="47">
      <c r="A47" s="4" t="n">
        <v>46328</v>
      </c>
      <c r="B47" s="5">
        <f>A47-WEEKDAY(A47,3)</f>
        <v>46328.0</v>
      </c>
      <c r="C47" s="6" t="inlineStr">
        <is>
          <t>Gia Marchant</t>
        </is>
      </c>
      <c r="D47" s="7" t="n">
        <v>0.2916666666666667</v>
      </c>
      <c r="E47" s="7" t="n">
        <v>0.6666666666666666</v>
      </c>
      <c r="F47" s="6" t="n">
        <v>30</v>
      </c>
      <c r="G47" t="str">
        <f>IF(COUNTIF(Holidays,A47)&gt;0,"Public holiday",IF(WEEKDAY(A47,2)=7,"Sunday",IF(WEEKDAY(A47,2)=6,"Saturday","Weekday")))</f>
        <v>Weekday</v>
      </c>
      <c r="H47" s="8">
        <f>IF(OR(D47="",E47=""),0,ROUND(MOD(E47-D47,1)*24-F47/60,2))</f>
        <v>8.5</v>
      </c>
      <c r="I47" s="8">
        <f>IF(OR(G47="Sunday",G47="Public holiday"),0,H47)</f>
        <v>8.5</v>
      </c>
      <c r="J47" s="8">
        <f>SUMIFS($I$2:$I$149,$C$2:$C$149,C47,$B$2:$B$149,B47,$A$2:$A$149,"&lt;"&amp;A47)</f>
        <v>0</v>
      </c>
      <c r="K47" s="8">
        <f>MAX(0,MIN(I47,OrdHours-J47))</f>
        <v>8.5</v>
      </c>
      <c r="L47" s="8">
        <f>I47-K47</f>
        <v>0</v>
      </c>
      <c r="M47" s="8">
        <f>IF(G47="Sunday",H47,0)</f>
        <v>0</v>
      </c>
      <c r="N47" s="8">
        <f>IF(G47="Public holiday",H47,0)</f>
        <v>0</v>
      </c>
      <c r="O47" s="9">
        <f>INDEX(StaffRates,MATCH(C47,StaffNames,0))</f>
        <v>29.6</v>
      </c>
      <c r="P47" s="9">
        <f>ROUND(O47*(K47*IF(G47="Saturday",SatRate,1)+L47*OTRate+M47*SunRate+N47*PHRate),2)</f>
        <v>251.6</v>
      </c>
      <c r="Q47" s="9">
        <f>ROUND(O47*L47*OTRate,2)</f>
        <v>0</v>
      </c>
      <c r="R47">
        <f>TRIM(IF(E47="","No finish time ","")&amp;IF(H47&gt;MaxShift,"Shift over limit ","")&amp;IF(AND(H47&gt;5,F47&lt;MinBreak),"Short break ",""))</f>
      </c>
    </row>
    <row r="48">
      <c r="A48" s="4" t="n">
        <v>46328</v>
      </c>
      <c r="B48" s="5">
        <f>A48-WEEKDAY(A48,3)</f>
        <v>46328.0</v>
      </c>
      <c r="C48" s="6" t="inlineStr">
        <is>
          <t>Hugo Brandt</t>
        </is>
      </c>
      <c r="D48" s="7" t="n">
        <v>0.8958333333333334</v>
      </c>
      <c r="E48" s="7" t="n">
        <v>0.2291666666666667</v>
      </c>
      <c r="F48" s="6" t="n">
        <v>30</v>
      </c>
      <c r="G48" t="str">
        <f>IF(COUNTIF(Holidays,A48)&gt;0,"Public holiday",IF(WEEKDAY(A48,2)=7,"Sunday",IF(WEEKDAY(A48,2)=6,"Saturday","Weekday")))</f>
        <v>Weekday</v>
      </c>
      <c r="H48" s="8">
        <f>IF(OR(D48="",E48=""),0,ROUND(MOD(E48-D48,1)*24-F48/60,2))</f>
        <v>7.5</v>
      </c>
      <c r="I48" s="8">
        <f>IF(OR(G48="Sunday",G48="Public holiday"),0,H48)</f>
        <v>7.5</v>
      </c>
      <c r="J48" s="8">
        <f>SUMIFS($I$2:$I$149,$C$2:$C$149,C48,$B$2:$B$149,B48,$A$2:$A$149,"&lt;"&amp;A48)</f>
        <v>0</v>
      </c>
      <c r="K48" s="8">
        <f>MAX(0,MIN(I48,OrdHours-J48))</f>
        <v>7.5</v>
      </c>
      <c r="L48" s="8">
        <f>I48-K48</f>
        <v>0</v>
      </c>
      <c r="M48" s="8">
        <f>IF(G48="Sunday",H48,0)</f>
        <v>0</v>
      </c>
      <c r="N48" s="8">
        <f>IF(G48="Public holiday",H48,0)</f>
        <v>0</v>
      </c>
      <c r="O48" s="9">
        <f>INDEX(StaffRates,MATCH(C48,StaffNames,0))</f>
        <v>35.4</v>
      </c>
      <c r="P48" s="9">
        <f>ROUND(O48*(K48*IF(G48="Saturday",SatRate,1)+L48*OTRate+M48*SunRate+N48*PHRate),2)</f>
        <v>265.5</v>
      </c>
      <c r="Q48" s="9">
        <f>ROUND(O48*L48*OTRate,2)</f>
        <v>0</v>
      </c>
      <c r="R48">
        <f>TRIM(IF(E48="","No finish time ","")&amp;IF(H48&gt;MaxShift,"Shift over limit ","")&amp;IF(AND(H48&gt;5,F48&lt;MinBreak),"Short break ",""))</f>
      </c>
    </row>
    <row r="49">
      <c r="A49" s="4" t="n">
        <v>46329</v>
      </c>
      <c r="B49" s="5">
        <f>A49-WEEKDAY(A49,3)</f>
        <v>46328.0</v>
      </c>
      <c r="C49" s="6" t="inlineStr">
        <is>
          <t>Ben Okafor</t>
        </is>
      </c>
      <c r="D49" s="7" t="n">
        <v>0.1666666666666667</v>
      </c>
      <c r="E49" s="7" t="n">
        <v>0.5625</v>
      </c>
      <c r="F49" s="6" t="n">
        <v>30</v>
      </c>
      <c r="G49" t="str">
        <f>IF(COUNTIF(Holidays,A49)&gt;0,"Public holiday",IF(WEEKDAY(A49,2)=7,"Sunday",IF(WEEKDAY(A49,2)=6,"Saturday","Weekday")))</f>
        <v>Public holiday</v>
      </c>
      <c r="H49" s="8">
        <f>IF(OR(D49="",E49=""),0,ROUND(MOD(E49-D49,1)*24-F49/60,2))</f>
        <v>9</v>
      </c>
      <c r="I49" s="8">
        <f>IF(OR(G49="Sunday",G49="Public holiday"),0,H49)</f>
        <v>0</v>
      </c>
      <c r="J49" s="8">
        <f>SUMIFS($I$2:$I$149,$C$2:$C$149,C49,$B$2:$B$149,B49,$A$2:$A$149,"&lt;"&amp;A49)</f>
        <v>8</v>
      </c>
      <c r="K49" s="8">
        <f>MAX(0,MIN(I49,OrdHours-J49))</f>
        <v>0</v>
      </c>
      <c r="L49" s="8">
        <f>I49-K49</f>
        <v>0</v>
      </c>
      <c r="M49" s="8">
        <f>IF(G49="Sunday",H49,0)</f>
        <v>0</v>
      </c>
      <c r="N49" s="8">
        <f>IF(G49="Public holiday",H49,0)</f>
        <v>9</v>
      </c>
      <c r="O49" s="9">
        <f>INDEX(StaffRates,MATCH(C49,StaffNames,0))</f>
        <v>33.1</v>
      </c>
      <c r="P49" s="9">
        <f>ROUND(O49*(K49*IF(G49="Saturday",SatRate,1)+L49*OTRate+M49*SunRate+N49*PHRate),2)</f>
        <v>670.28</v>
      </c>
      <c r="Q49" s="9">
        <f>ROUND(O49*L49*OTRate,2)</f>
        <v>0</v>
      </c>
      <c r="R49">
        <f>TRIM(IF(E49="","No finish time ","")&amp;IF(H49&gt;MaxShift,"Shift over limit ","")&amp;IF(AND(H49&gt;5,F49&lt;MinBreak),"Short break ",""))</f>
      </c>
    </row>
    <row r="50">
      <c r="A50" s="4" t="n">
        <v>46329</v>
      </c>
      <c r="B50" s="5">
        <f>A50-WEEKDAY(A50,3)</f>
        <v>46328.0</v>
      </c>
      <c r="C50" s="6" t="inlineStr">
        <is>
          <t>Cara Delmonte</t>
        </is>
      </c>
      <c r="D50" s="7" t="n">
        <v>0.1875</v>
      </c>
      <c r="E50" s="7" t="n">
        <v>0.5416666666666666</v>
      </c>
      <c r="F50" s="6" t="n">
        <v>30</v>
      </c>
      <c r="G50" t="str">
        <f>IF(COUNTIF(Holidays,A50)&gt;0,"Public holiday",IF(WEEKDAY(A50,2)=7,"Sunday",IF(WEEKDAY(A50,2)=6,"Saturday","Weekday")))</f>
        <v>Public holiday</v>
      </c>
      <c r="H50" s="8">
        <f>IF(OR(D50="",E50=""),0,ROUND(MOD(E50-D50,1)*24-F50/60,2))</f>
        <v>8</v>
      </c>
      <c r="I50" s="8">
        <f>IF(OR(G50="Sunday",G50="Public holiday"),0,H50)</f>
        <v>0</v>
      </c>
      <c r="J50" s="8">
        <f>SUMIFS($I$2:$I$149,$C$2:$C$149,C50,$B$2:$B$149,B50,$A$2:$A$149,"&lt;"&amp;A50)</f>
        <v>8</v>
      </c>
      <c r="K50" s="8">
        <f>MAX(0,MIN(I50,OrdHours-J50))</f>
        <v>0</v>
      </c>
      <c r="L50" s="8">
        <f>I50-K50</f>
        <v>0</v>
      </c>
      <c r="M50" s="8">
        <f>IF(G50="Sunday",H50,0)</f>
        <v>0</v>
      </c>
      <c r="N50" s="8">
        <f>IF(G50="Public holiday",H50,0)</f>
        <v>8</v>
      </c>
      <c r="O50" s="9">
        <f>INDEX(StaffRates,MATCH(C50,StaffNames,0))</f>
        <v>36.2</v>
      </c>
      <c r="P50" s="9">
        <f>ROUND(O50*(K50*IF(G50="Saturday",SatRate,1)+L50*OTRate+M50*SunRate+N50*PHRate),2)</f>
        <v>651.6</v>
      </c>
      <c r="Q50" s="9">
        <f>ROUND(O50*L50*OTRate,2)</f>
        <v>0</v>
      </c>
      <c r="R50">
        <f>TRIM(IF(E50="","No finish time ","")&amp;IF(H50&gt;MaxShift,"Shift over limit ","")&amp;IF(AND(H50&gt;5,F50&lt;MinBreak),"Short break ",""))</f>
      </c>
    </row>
    <row r="51">
      <c r="A51" s="4" t="n">
        <v>46329</v>
      </c>
      <c r="B51" s="5">
        <f>A51-WEEKDAY(A51,3)</f>
        <v>46328.0</v>
      </c>
      <c r="C51" s="6" t="inlineStr">
        <is>
          <t>Dylan Fraser</t>
        </is>
      </c>
      <c r="D51" s="7" t="n">
        <v>0.2916666666666667</v>
      </c>
      <c r="E51" s="7" t="n">
        <v>0.6666666666666666</v>
      </c>
      <c r="F51" s="6" t="n">
        <v>30</v>
      </c>
      <c r="G51" t="str">
        <f>IF(COUNTIF(Holidays,A51)&gt;0,"Public holiday",IF(WEEKDAY(A51,2)=7,"Sunday",IF(WEEKDAY(A51,2)=6,"Saturday","Weekday")))</f>
        <v>Public holiday</v>
      </c>
      <c r="H51" s="8">
        <f>IF(OR(D51="",E51=""),0,ROUND(MOD(E51-D51,1)*24-F51/60,2))</f>
        <v>8.5</v>
      </c>
      <c r="I51" s="8">
        <f>IF(OR(G51="Sunday",G51="Public holiday"),0,H51)</f>
        <v>0</v>
      </c>
      <c r="J51" s="8">
        <f>SUMIFS($I$2:$I$149,$C$2:$C$149,C51,$B$2:$B$149,B51,$A$2:$A$149,"&lt;"&amp;A51)</f>
        <v>8</v>
      </c>
      <c r="K51" s="8">
        <f>MAX(0,MIN(I51,OrdHours-J51))</f>
        <v>0</v>
      </c>
      <c r="L51" s="8">
        <f>I51-K51</f>
        <v>0</v>
      </c>
      <c r="M51" s="8">
        <f>IF(G51="Sunday",H51,0)</f>
        <v>0</v>
      </c>
      <c r="N51" s="8">
        <f>IF(G51="Public holiday",H51,0)</f>
        <v>8.5</v>
      </c>
      <c r="O51" s="9">
        <f>INDEX(StaffRates,MATCH(C51,StaffNames,0))</f>
        <v>29.6</v>
      </c>
      <c r="P51" s="9">
        <f>ROUND(O51*(K51*IF(G51="Saturday",SatRate,1)+L51*OTRate+M51*SunRate+N51*PHRate),2)</f>
        <v>566.1</v>
      </c>
      <c r="Q51" s="9">
        <f>ROUND(O51*L51*OTRate,2)</f>
        <v>0</v>
      </c>
      <c r="R51">
        <f>TRIM(IF(E51="","No finish time ","")&amp;IF(H51&gt;MaxShift,"Shift over limit ","")&amp;IF(AND(H51&gt;5,F51&lt;MinBreak),"Short break ",""))</f>
      </c>
    </row>
    <row r="52">
      <c r="A52" s="4" t="n">
        <v>46329</v>
      </c>
      <c r="B52" s="5">
        <f>A52-WEEKDAY(A52,3)</f>
        <v>46328.0</v>
      </c>
      <c r="C52" s="6" t="inlineStr">
        <is>
          <t>Esme Rowe</t>
        </is>
      </c>
      <c r="D52" s="7" t="n">
        <v>0.2916666666666667</v>
      </c>
      <c r="E52" s="7" t="n">
        <v>0.6083333333333333</v>
      </c>
      <c r="F52" s="6" t="n">
        <v>30</v>
      </c>
      <c r="G52" t="str">
        <f>IF(COUNTIF(Holidays,A52)&gt;0,"Public holiday",IF(WEEKDAY(A52,2)=7,"Sunday",IF(WEEKDAY(A52,2)=6,"Saturday","Weekday")))</f>
        <v>Public holiday</v>
      </c>
      <c r="H52" s="8">
        <f>IF(OR(D52="",E52=""),0,ROUND(MOD(E52-D52,1)*24-F52/60,2))</f>
        <v>7.1</v>
      </c>
      <c r="I52" s="8">
        <f>IF(OR(G52="Sunday",G52="Public holiday"),0,H52)</f>
        <v>0</v>
      </c>
      <c r="J52" s="8">
        <f>SUMIFS($I$2:$I$149,$C$2:$C$149,C52,$B$2:$B$149,B52,$A$2:$A$149,"&lt;"&amp;A52)</f>
        <v>5</v>
      </c>
      <c r="K52" s="8">
        <f>MAX(0,MIN(I52,OrdHours-J52))</f>
        <v>0</v>
      </c>
      <c r="L52" s="8">
        <f>I52-K52</f>
        <v>0</v>
      </c>
      <c r="M52" s="8">
        <f>IF(G52="Sunday",H52,0)</f>
        <v>0</v>
      </c>
      <c r="N52" s="8">
        <f>IF(G52="Public holiday",H52,0)</f>
        <v>7.1</v>
      </c>
      <c r="O52" s="9">
        <f>INDEX(StaffRates,MATCH(C52,StaffNames,0))</f>
        <v>27.9</v>
      </c>
      <c r="P52" s="9">
        <f>ROUND(O52*(K52*IF(G52="Saturday",SatRate,1)+L52*OTRate+M52*SunRate+N52*PHRate),2)</f>
        <v>445.7</v>
      </c>
      <c r="Q52" s="9">
        <f>ROUND(O52*L52*OTRate,2)</f>
        <v>0</v>
      </c>
      <c r="R52">
        <f>TRIM(IF(E52="","No finish time ","")&amp;IF(H52&gt;MaxShift,"Shift over limit ","")&amp;IF(AND(H52&gt;5,F52&lt;MinBreak),"Short break ",""))</f>
      </c>
    </row>
    <row r="53">
      <c r="A53" s="4" t="n">
        <v>46329</v>
      </c>
      <c r="B53" s="5">
        <f>A53-WEEKDAY(A53,3)</f>
        <v>46328.0</v>
      </c>
      <c r="C53" s="6" t="inlineStr">
        <is>
          <t>Gia Marchant</t>
        </is>
      </c>
      <c r="D53" s="7" t="n">
        <v>0.3125</v>
      </c>
      <c r="E53" s="7" t="n">
        <v>0.5208333333333334</v>
      </c>
      <c r="F53" s="6" t="n">
        <v>0</v>
      </c>
      <c r="G53" t="str">
        <f>IF(COUNTIF(Holidays,A53)&gt;0,"Public holiday",IF(WEEKDAY(A53,2)=7,"Sunday",IF(WEEKDAY(A53,2)=6,"Saturday","Weekday")))</f>
        <v>Public holiday</v>
      </c>
      <c r="H53" s="8">
        <f>IF(OR(D53="",E53=""),0,ROUND(MOD(E53-D53,1)*24-F53/60,2))</f>
        <v>5</v>
      </c>
      <c r="I53" s="8">
        <f>IF(OR(G53="Sunday",G53="Public holiday"),0,H53)</f>
        <v>0</v>
      </c>
      <c r="J53" s="8">
        <f>SUMIFS($I$2:$I$149,$C$2:$C$149,C53,$B$2:$B$149,B53,$A$2:$A$149,"&lt;"&amp;A53)</f>
        <v>8.5</v>
      </c>
      <c r="K53" s="8">
        <f>MAX(0,MIN(I53,OrdHours-J53))</f>
        <v>0</v>
      </c>
      <c r="L53" s="8">
        <f>I53-K53</f>
        <v>0</v>
      </c>
      <c r="M53" s="8">
        <f>IF(G53="Sunday",H53,0)</f>
        <v>0</v>
      </c>
      <c r="N53" s="8">
        <f>IF(G53="Public holiday",H53,0)</f>
        <v>5</v>
      </c>
      <c r="O53" s="9">
        <f>INDEX(StaffRates,MATCH(C53,StaffNames,0))</f>
        <v>29.6</v>
      </c>
      <c r="P53" s="9">
        <f>ROUND(O53*(K53*IF(G53="Saturday",SatRate,1)+L53*OTRate+M53*SunRate+N53*PHRate),2)</f>
        <v>333</v>
      </c>
      <c r="Q53" s="9">
        <f>ROUND(O53*L53*OTRate,2)</f>
        <v>0</v>
      </c>
      <c r="R53">
        <f>TRIM(IF(E53="","No finish time ","")&amp;IF(H53&gt;MaxShift,"Shift over limit ","")&amp;IF(AND(H53&gt;5,F53&lt;MinBreak),"Short break ",""))</f>
      </c>
    </row>
    <row r="54">
      <c r="A54" s="4" t="n">
        <v>46330</v>
      </c>
      <c r="B54" s="5">
        <f>A54-WEEKDAY(A54,3)</f>
        <v>46328.0</v>
      </c>
      <c r="C54" s="6" t="inlineStr">
        <is>
          <t>Ava Kingsley</t>
        </is>
      </c>
      <c r="D54" s="7" t="n">
        <v>0.25</v>
      </c>
      <c r="E54" s="7" t="n">
        <v>0.6666666666666666</v>
      </c>
      <c r="F54" s="6" t="n">
        <v>30</v>
      </c>
      <c r="G54" t="str">
        <f>IF(COUNTIF(Holidays,A54)&gt;0,"Public holiday",IF(WEEKDAY(A54,2)=7,"Sunday",IF(WEEKDAY(A54,2)=6,"Saturday","Weekday")))</f>
        <v>Weekday</v>
      </c>
      <c r="H54" s="8">
        <f>IF(OR(D54="",E54=""),0,ROUND(MOD(E54-D54,1)*24-F54/60,2))</f>
        <v>9.5</v>
      </c>
      <c r="I54" s="8">
        <f>IF(OR(G54="Sunday",G54="Public holiday"),0,H54)</f>
        <v>9.5</v>
      </c>
      <c r="J54" s="8">
        <f>SUMIFS($I$2:$I$149,$C$2:$C$149,C54,$B$2:$B$149,B54,$A$2:$A$149,"&lt;"&amp;A54)</f>
        <v>0</v>
      </c>
      <c r="K54" s="8">
        <f>MAX(0,MIN(I54,OrdHours-J54))</f>
        <v>9.5</v>
      </c>
      <c r="L54" s="8">
        <f>I54-K54</f>
        <v>0</v>
      </c>
      <c r="M54" s="8">
        <f>IF(G54="Sunday",H54,0)</f>
        <v>0</v>
      </c>
      <c r="N54" s="8">
        <f>IF(G54="Public holiday",H54,0)</f>
        <v>0</v>
      </c>
      <c r="O54" s="9">
        <f>INDEX(StaffRates,MATCH(C54,StaffNames,0))</f>
        <v>34.8</v>
      </c>
      <c r="P54" s="9">
        <f>ROUND(O54*(K54*IF(G54="Saturday",SatRate,1)+L54*OTRate+M54*SunRate+N54*PHRate),2)</f>
        <v>330.6</v>
      </c>
      <c r="Q54" s="9">
        <f>ROUND(O54*L54*OTRate,2)</f>
        <v>0</v>
      </c>
      <c r="R54">
        <f>TRIM(IF(E54="","No finish time ","")&amp;IF(H54&gt;MaxShift,"Shift over limit ","")&amp;IF(AND(H54&gt;5,F54&lt;MinBreak),"Short break ",""))</f>
      </c>
    </row>
    <row r="55">
      <c r="A55" s="4" t="n">
        <v>46330</v>
      </c>
      <c r="B55" s="5">
        <f>A55-WEEKDAY(A55,3)</f>
        <v>46328.0</v>
      </c>
      <c r="C55" s="6" t="inlineStr">
        <is>
          <t>Ben Okafor</t>
        </is>
      </c>
      <c r="D55" s="7" t="n">
        <v>0.1875</v>
      </c>
      <c r="E55" s="7" t="n">
        <v>0.5416666666666666</v>
      </c>
      <c r="F55" s="6" t="n">
        <v>30</v>
      </c>
      <c r="G55" t="str">
        <f>IF(COUNTIF(Holidays,A55)&gt;0,"Public holiday",IF(WEEKDAY(A55,2)=7,"Sunday",IF(WEEKDAY(A55,2)=6,"Saturday","Weekday")))</f>
        <v>Weekday</v>
      </c>
      <c r="H55" s="8">
        <f>IF(OR(D55="",E55=""),0,ROUND(MOD(E55-D55,1)*24-F55/60,2))</f>
        <v>8</v>
      </c>
      <c r="I55" s="8">
        <f>IF(OR(G55="Sunday",G55="Public holiday"),0,H55)</f>
        <v>8</v>
      </c>
      <c r="J55" s="8">
        <f>SUMIFS($I$2:$I$149,$C$2:$C$149,C55,$B$2:$B$149,B55,$A$2:$A$149,"&lt;"&amp;A55)</f>
        <v>8</v>
      </c>
      <c r="K55" s="8">
        <f>MAX(0,MIN(I55,OrdHours-J55))</f>
        <v>8</v>
      </c>
      <c r="L55" s="8">
        <f>I55-K55</f>
        <v>0</v>
      </c>
      <c r="M55" s="8">
        <f>IF(G55="Sunday",H55,0)</f>
        <v>0</v>
      </c>
      <c r="N55" s="8">
        <f>IF(G55="Public holiday",H55,0)</f>
        <v>0</v>
      </c>
      <c r="O55" s="9">
        <f>INDEX(StaffRates,MATCH(C55,StaffNames,0))</f>
        <v>33.1</v>
      </c>
      <c r="P55" s="9">
        <f>ROUND(O55*(K55*IF(G55="Saturday",SatRate,1)+L55*OTRate+M55*SunRate+N55*PHRate),2)</f>
        <v>264.8</v>
      </c>
      <c r="Q55" s="9">
        <f>ROUND(O55*L55*OTRate,2)</f>
        <v>0</v>
      </c>
      <c r="R55">
        <f>TRIM(IF(E55="","No finish time ","")&amp;IF(H55&gt;MaxShift,"Shift over limit ","")&amp;IF(AND(H55&gt;5,F55&lt;MinBreak),"Short break ",""))</f>
      </c>
    </row>
    <row r="56">
      <c r="A56" s="4" t="n">
        <v>46330</v>
      </c>
      <c r="B56" s="5">
        <f>A56-WEEKDAY(A56,3)</f>
        <v>46328.0</v>
      </c>
      <c r="C56" s="6" t="inlineStr">
        <is>
          <t>Cara Delmonte</t>
        </is>
      </c>
      <c r="D56" s="7" t="n">
        <v>0.2083333333333333</v>
      </c>
      <c r="E56" s="7" t="n">
        <v>0.625</v>
      </c>
      <c r="F56" s="6" t="n">
        <v>30</v>
      </c>
      <c r="G56" t="str">
        <f>IF(COUNTIF(Holidays,A56)&gt;0,"Public holiday",IF(WEEKDAY(A56,2)=7,"Sunday",IF(WEEKDAY(A56,2)=6,"Saturday","Weekday")))</f>
        <v>Weekday</v>
      </c>
      <c r="H56" s="8">
        <f>IF(OR(D56="",E56=""),0,ROUND(MOD(E56-D56,1)*24-F56/60,2))</f>
        <v>9.5</v>
      </c>
      <c r="I56" s="8">
        <f>IF(OR(G56="Sunday",G56="Public holiday"),0,H56)</f>
        <v>9.5</v>
      </c>
      <c r="J56" s="8">
        <f>SUMIFS($I$2:$I$149,$C$2:$C$149,C56,$B$2:$B$149,B56,$A$2:$A$149,"&lt;"&amp;A56)</f>
        <v>8</v>
      </c>
      <c r="K56" s="8">
        <f>MAX(0,MIN(I56,OrdHours-J56))</f>
        <v>9.5</v>
      </c>
      <c r="L56" s="8">
        <f>I56-K56</f>
        <v>0</v>
      </c>
      <c r="M56" s="8">
        <f>IF(G56="Sunday",H56,0)</f>
        <v>0</v>
      </c>
      <c r="N56" s="8">
        <f>IF(G56="Public holiday",H56,0)</f>
        <v>0</v>
      </c>
      <c r="O56" s="9">
        <f>INDEX(StaffRates,MATCH(C56,StaffNames,0))</f>
        <v>36.2</v>
      </c>
      <c r="P56" s="9">
        <f>ROUND(O56*(K56*IF(G56="Saturday",SatRate,1)+L56*OTRate+M56*SunRate+N56*PHRate),2)</f>
        <v>343.9</v>
      </c>
      <c r="Q56" s="9">
        <f>ROUND(O56*L56*OTRate,2)</f>
        <v>0</v>
      </c>
      <c r="R56">
        <f>TRIM(IF(E56="","No finish time ","")&amp;IF(H56&gt;MaxShift,"Shift over limit ","")&amp;IF(AND(H56&gt;5,F56&lt;MinBreak),"Short break ",""))</f>
      </c>
    </row>
    <row r="57">
      <c r="A57" s="4" t="n">
        <v>46330</v>
      </c>
      <c r="B57" s="5">
        <f>A57-WEEKDAY(A57,3)</f>
        <v>46328.0</v>
      </c>
      <c r="C57" s="6" t="inlineStr">
        <is>
          <t>Dylan Fraser</t>
        </is>
      </c>
      <c r="D57" s="7" t="n">
        <v>0.2916666666666667</v>
      </c>
      <c r="E57" s="7" t="n">
        <v>0.6666666666666666</v>
      </c>
      <c r="F57" s="6" t="n">
        <v>30</v>
      </c>
      <c r="G57" t="str">
        <f>IF(COUNTIF(Holidays,A57)&gt;0,"Public holiday",IF(WEEKDAY(A57,2)=7,"Sunday",IF(WEEKDAY(A57,2)=6,"Saturday","Weekday")))</f>
        <v>Weekday</v>
      </c>
      <c r="H57" s="8">
        <f>IF(OR(D57="",E57=""),0,ROUND(MOD(E57-D57,1)*24-F57/60,2))</f>
        <v>8.5</v>
      </c>
      <c r="I57" s="8">
        <f>IF(OR(G57="Sunday",G57="Public holiday"),0,H57)</f>
        <v>8.5</v>
      </c>
      <c r="J57" s="8">
        <f>SUMIFS($I$2:$I$149,$C$2:$C$149,C57,$B$2:$B$149,B57,$A$2:$A$149,"&lt;"&amp;A57)</f>
        <v>8</v>
      </c>
      <c r="K57" s="8">
        <f>MAX(0,MIN(I57,OrdHours-J57))</f>
        <v>8.5</v>
      </c>
      <c r="L57" s="8">
        <f>I57-K57</f>
        <v>0</v>
      </c>
      <c r="M57" s="8">
        <f>IF(G57="Sunday",H57,0)</f>
        <v>0</v>
      </c>
      <c r="N57" s="8">
        <f>IF(G57="Public holiday",H57,0)</f>
        <v>0</v>
      </c>
      <c r="O57" s="9">
        <f>INDEX(StaffRates,MATCH(C57,StaffNames,0))</f>
        <v>29.6</v>
      </c>
      <c r="P57" s="9">
        <f>ROUND(O57*(K57*IF(G57="Saturday",SatRate,1)+L57*OTRate+M57*SunRate+N57*PHRate),2)</f>
        <v>251.6</v>
      </c>
      <c r="Q57" s="9">
        <f>ROUND(O57*L57*OTRate,2)</f>
        <v>0</v>
      </c>
      <c r="R57">
        <f>TRIM(IF(E57="","No finish time ","")&amp;IF(H57&gt;MaxShift,"Shift over limit ","")&amp;IF(AND(H57&gt;5,F57&lt;MinBreak),"Short break ",""))</f>
      </c>
    </row>
    <row r="58">
      <c r="A58" s="4" t="n">
        <v>46330</v>
      </c>
      <c r="B58" s="5">
        <f>A58-WEEKDAY(A58,3)</f>
        <v>46328.0</v>
      </c>
      <c r="C58" s="6" t="inlineStr">
        <is>
          <t>Hugo Brandt</t>
        </is>
      </c>
      <c r="D58" s="7" t="n">
        <v>0.9166666666666666</v>
      </c>
      <c r="E58" s="7" t="n">
        <v>0.25</v>
      </c>
      <c r="F58" s="6" t="n">
        <v>30</v>
      </c>
      <c r="G58" t="str">
        <f>IF(COUNTIF(Holidays,A58)&gt;0,"Public holiday",IF(WEEKDAY(A58,2)=7,"Sunday",IF(WEEKDAY(A58,2)=6,"Saturday","Weekday")))</f>
        <v>Weekday</v>
      </c>
      <c r="H58" s="8">
        <f>IF(OR(D58="",E58=""),0,ROUND(MOD(E58-D58,1)*24-F58/60,2))</f>
        <v>7.5</v>
      </c>
      <c r="I58" s="8">
        <f>IF(OR(G58="Sunday",G58="Public holiday"),0,H58)</f>
        <v>7.5</v>
      </c>
      <c r="J58" s="8">
        <f>SUMIFS($I$2:$I$149,$C$2:$C$149,C58,$B$2:$B$149,B58,$A$2:$A$149,"&lt;"&amp;A58)</f>
        <v>7.5</v>
      </c>
      <c r="K58" s="8">
        <f>MAX(0,MIN(I58,OrdHours-J58))</f>
        <v>7.5</v>
      </c>
      <c r="L58" s="8">
        <f>I58-K58</f>
        <v>0</v>
      </c>
      <c r="M58" s="8">
        <f>IF(G58="Sunday",H58,0)</f>
        <v>0</v>
      </c>
      <c r="N58" s="8">
        <f>IF(G58="Public holiday",H58,0)</f>
        <v>0</v>
      </c>
      <c r="O58" s="9">
        <f>INDEX(StaffRates,MATCH(C58,StaffNames,0))</f>
        <v>35.4</v>
      </c>
      <c r="P58" s="9">
        <f>ROUND(O58*(K58*IF(G58="Saturday",SatRate,1)+L58*OTRate+M58*SunRate+N58*PHRate),2)</f>
        <v>265.5</v>
      </c>
      <c r="Q58" s="9">
        <f>ROUND(O58*L58*OTRate,2)</f>
        <v>0</v>
      </c>
      <c r="R58">
        <f>TRIM(IF(E58="","No finish time ","")&amp;IF(H58&gt;MaxShift,"Shift over limit ","")&amp;IF(AND(H58&gt;5,F58&lt;MinBreak),"Short break ",""))</f>
      </c>
    </row>
    <row r="59">
      <c r="A59" s="4" t="n">
        <v>46331</v>
      </c>
      <c r="B59" s="5">
        <f>A59-WEEKDAY(A59,3)</f>
        <v>46328.0</v>
      </c>
      <c r="C59" s="6" t="inlineStr">
        <is>
          <t>Ava Kingsley</t>
        </is>
      </c>
      <c r="D59" s="7" t="n">
        <v>0.25</v>
      </c>
      <c r="E59" s="7" t="n">
        <v>0.6666666666666666</v>
      </c>
      <c r="F59" s="6" t="n">
        <v>30</v>
      </c>
      <c r="G59" t="str">
        <f>IF(COUNTIF(Holidays,A59)&gt;0,"Public holiday",IF(WEEKDAY(A59,2)=7,"Sunday",IF(WEEKDAY(A59,2)=6,"Saturday","Weekday")))</f>
        <v>Weekday</v>
      </c>
      <c r="H59" s="8">
        <f>IF(OR(D59="",E59=""),0,ROUND(MOD(E59-D59,1)*24-F59/60,2))</f>
        <v>9.5</v>
      </c>
      <c r="I59" s="8">
        <f>IF(OR(G59="Sunday",G59="Public holiday"),0,H59)</f>
        <v>9.5</v>
      </c>
      <c r="J59" s="8">
        <f>SUMIFS($I$2:$I$149,$C$2:$C$149,C59,$B$2:$B$149,B59,$A$2:$A$149,"&lt;"&amp;A59)</f>
        <v>9.5</v>
      </c>
      <c r="K59" s="8">
        <f>MAX(0,MIN(I59,OrdHours-J59))</f>
        <v>9.5</v>
      </c>
      <c r="L59" s="8">
        <f>I59-K59</f>
        <v>0</v>
      </c>
      <c r="M59" s="8">
        <f>IF(G59="Sunday",H59,0)</f>
        <v>0</v>
      </c>
      <c r="N59" s="8">
        <f>IF(G59="Public holiday",H59,0)</f>
        <v>0</v>
      </c>
      <c r="O59" s="9">
        <f>INDEX(StaffRates,MATCH(C59,StaffNames,0))</f>
        <v>34.8</v>
      </c>
      <c r="P59" s="9">
        <f>ROUND(O59*(K59*IF(G59="Saturday",SatRate,1)+L59*OTRate+M59*SunRate+N59*PHRate),2)</f>
        <v>330.6</v>
      </c>
      <c r="Q59" s="9">
        <f>ROUND(O59*L59*OTRate,2)</f>
        <v>0</v>
      </c>
      <c r="R59">
        <f>TRIM(IF(E59="","No finish time ","")&amp;IF(H59&gt;MaxShift,"Shift over limit ","")&amp;IF(AND(H59&gt;5,F59&lt;MinBreak),"Short break ",""))</f>
      </c>
    </row>
    <row r="60">
      <c r="A60" s="4" t="n">
        <v>46331</v>
      </c>
      <c r="B60" s="5">
        <f>A60-WEEKDAY(A60,3)</f>
        <v>46328.0</v>
      </c>
      <c r="C60" s="6" t="inlineStr">
        <is>
          <t>Ben Okafor</t>
        </is>
      </c>
      <c r="D60" s="7" t="n">
        <v>0.1666666666666667</v>
      </c>
      <c r="E60" s="7" t="n">
        <v>0.5208333333333334</v>
      </c>
      <c r="F60" s="6" t="n">
        <v>30</v>
      </c>
      <c r="G60" t="str">
        <f>IF(COUNTIF(Holidays,A60)&gt;0,"Public holiday",IF(WEEKDAY(A60,2)=7,"Sunday",IF(WEEKDAY(A60,2)=6,"Saturday","Weekday")))</f>
        <v>Weekday</v>
      </c>
      <c r="H60" s="8">
        <f>IF(OR(D60="",E60=""),0,ROUND(MOD(E60-D60,1)*24-F60/60,2))</f>
        <v>8</v>
      </c>
      <c r="I60" s="8">
        <f>IF(OR(G60="Sunday",G60="Public holiday"),0,H60)</f>
        <v>8</v>
      </c>
      <c r="J60" s="8">
        <f>SUMIFS($I$2:$I$149,$C$2:$C$149,C60,$B$2:$B$149,B60,$A$2:$A$149,"&lt;"&amp;A60)</f>
        <v>16</v>
      </c>
      <c r="K60" s="8">
        <f>MAX(0,MIN(I60,OrdHours-J60))</f>
        <v>8</v>
      </c>
      <c r="L60" s="8">
        <f>I60-K60</f>
        <v>0</v>
      </c>
      <c r="M60" s="8">
        <f>IF(G60="Sunday",H60,0)</f>
        <v>0</v>
      </c>
      <c r="N60" s="8">
        <f>IF(G60="Public holiday",H60,0)</f>
        <v>0</v>
      </c>
      <c r="O60" s="9">
        <f>INDEX(StaffRates,MATCH(C60,StaffNames,0))</f>
        <v>33.1</v>
      </c>
      <c r="P60" s="9">
        <f>ROUND(O60*(K60*IF(G60="Saturday",SatRate,1)+L60*OTRate+M60*SunRate+N60*PHRate),2)</f>
        <v>264.8</v>
      </c>
      <c r="Q60" s="9">
        <f>ROUND(O60*L60*OTRate,2)</f>
        <v>0</v>
      </c>
      <c r="R60">
        <f>TRIM(IF(E60="","No finish time ","")&amp;IF(H60&gt;MaxShift,"Shift over limit ","")&amp;IF(AND(H60&gt;5,F60&lt;MinBreak),"Short break ",""))</f>
      </c>
    </row>
    <row r="61">
      <c r="A61" s="4" t="n">
        <v>46331</v>
      </c>
      <c r="B61" s="5">
        <f>A61-WEEKDAY(A61,3)</f>
        <v>46328.0</v>
      </c>
      <c r="C61" s="6" t="inlineStr">
        <is>
          <t>Cara Delmonte</t>
        </is>
      </c>
      <c r="D61" s="7" t="n">
        <v>0.21875</v>
      </c>
      <c r="E61" s="7" t="n">
        <v>0.59375</v>
      </c>
      <c r="F61" s="6" t="n">
        <v>30</v>
      </c>
      <c r="G61" t="str">
        <f>IF(COUNTIF(Holidays,A61)&gt;0,"Public holiday",IF(WEEKDAY(A61,2)=7,"Sunday",IF(WEEKDAY(A61,2)=6,"Saturday","Weekday")))</f>
        <v>Weekday</v>
      </c>
      <c r="H61" s="8">
        <f>IF(OR(D61="",E61=""),0,ROUND(MOD(E61-D61,1)*24-F61/60,2))</f>
        <v>8.5</v>
      </c>
      <c r="I61" s="8">
        <f>IF(OR(G61="Sunday",G61="Public holiday"),0,H61)</f>
        <v>8.5</v>
      </c>
      <c r="J61" s="8">
        <f>SUMIFS($I$2:$I$149,$C$2:$C$149,C61,$B$2:$B$149,B61,$A$2:$A$149,"&lt;"&amp;A61)</f>
        <v>17.5</v>
      </c>
      <c r="K61" s="8">
        <f>MAX(0,MIN(I61,OrdHours-J61))</f>
        <v>8.5</v>
      </c>
      <c r="L61" s="8">
        <f>I61-K61</f>
        <v>0</v>
      </c>
      <c r="M61" s="8">
        <f>IF(G61="Sunday",H61,0)</f>
        <v>0</v>
      </c>
      <c r="N61" s="8">
        <f>IF(G61="Public holiday",H61,0)</f>
        <v>0</v>
      </c>
      <c r="O61" s="9">
        <f>INDEX(StaffRates,MATCH(C61,StaffNames,0))</f>
        <v>36.2</v>
      </c>
      <c r="P61" s="9">
        <f>ROUND(O61*(K61*IF(G61="Saturday",SatRate,1)+L61*OTRate+M61*SunRate+N61*PHRate),2)</f>
        <v>307.7</v>
      </c>
      <c r="Q61" s="9">
        <f>ROUND(O61*L61*OTRate,2)</f>
        <v>0</v>
      </c>
      <c r="R61">
        <f>TRIM(IF(E61="","No finish time ","")&amp;IF(H61&gt;MaxShift,"Shift over limit ","")&amp;IF(AND(H61&gt;5,F61&lt;MinBreak),"Short break ",""))</f>
      </c>
    </row>
    <row r="62">
      <c r="A62" s="4" t="n">
        <v>46331</v>
      </c>
      <c r="B62" s="5">
        <f>A62-WEEKDAY(A62,3)</f>
        <v>46328.0</v>
      </c>
      <c r="C62" s="6" t="inlineStr">
        <is>
          <t>Dylan Fraser</t>
        </is>
      </c>
      <c r="D62" s="7" t="n">
        <v>0.28125</v>
      </c>
      <c r="E62" s="7" t="n">
        <v>0.8229166666666666</v>
      </c>
      <c r="F62" s="6" t="n">
        <v>30</v>
      </c>
      <c r="G62" t="str">
        <f>IF(COUNTIF(Holidays,A62)&gt;0,"Public holiday",IF(WEEKDAY(A62,2)=7,"Sunday",IF(WEEKDAY(A62,2)=6,"Saturday","Weekday")))</f>
        <v>Weekday</v>
      </c>
      <c r="H62" s="8">
        <f>IF(OR(D62="",E62=""),0,ROUND(MOD(E62-D62,1)*24-F62/60,2))</f>
        <v>12.5</v>
      </c>
      <c r="I62" s="8">
        <f>IF(OR(G62="Sunday",G62="Public holiday"),0,H62)</f>
        <v>12.5</v>
      </c>
      <c r="J62" s="8">
        <f>SUMIFS($I$2:$I$149,$C$2:$C$149,C62,$B$2:$B$149,B62,$A$2:$A$149,"&lt;"&amp;A62)</f>
        <v>16.5</v>
      </c>
      <c r="K62" s="8">
        <f>MAX(0,MIN(I62,OrdHours-J62))</f>
        <v>12.5</v>
      </c>
      <c r="L62" s="8">
        <f>I62-K62</f>
        <v>0</v>
      </c>
      <c r="M62" s="8">
        <f>IF(G62="Sunday",H62,0)</f>
        <v>0</v>
      </c>
      <c r="N62" s="8">
        <f>IF(G62="Public holiday",H62,0)</f>
        <v>0</v>
      </c>
      <c r="O62" s="9">
        <f>INDEX(StaffRates,MATCH(C62,StaffNames,0))</f>
        <v>29.6</v>
      </c>
      <c r="P62" s="9">
        <f>ROUND(O62*(K62*IF(G62="Saturday",SatRate,1)+L62*OTRate+M62*SunRate+N62*PHRate),2)</f>
        <v>370</v>
      </c>
      <c r="Q62" s="9">
        <f>ROUND(O62*L62*OTRate,2)</f>
        <v>0</v>
      </c>
      <c r="R62" t="str">
        <f>TRIM(IF(E62="","No finish time ","")&amp;IF(H62&gt;MaxShift,"Shift over limit ","")&amp;IF(AND(H62&gt;5,F62&lt;MinBreak),"Short break ",""))</f>
        <v>Shift over limit</v>
      </c>
    </row>
    <row r="63">
      <c r="A63" s="4" t="n">
        <v>46331</v>
      </c>
      <c r="B63" s="5">
        <f>A63-WEEKDAY(A63,3)</f>
        <v>46328.0</v>
      </c>
      <c r="C63" s="6" t="inlineStr">
        <is>
          <t>Esme Rowe</t>
        </is>
      </c>
      <c r="D63" s="7" t="n">
        <v>0.3125</v>
      </c>
      <c r="E63" s="7" t="n">
        <v>0.5625</v>
      </c>
      <c r="F63" s="6" t="n">
        <v>15</v>
      </c>
      <c r="G63" t="str">
        <f>IF(COUNTIF(Holidays,A63)&gt;0,"Public holiday",IF(WEEKDAY(A63,2)=7,"Sunday",IF(WEEKDAY(A63,2)=6,"Saturday","Weekday")))</f>
        <v>Weekday</v>
      </c>
      <c r="H63" s="8">
        <f>IF(OR(D63="",E63=""),0,ROUND(MOD(E63-D63,1)*24-F63/60,2))</f>
        <v>5.75</v>
      </c>
      <c r="I63" s="8">
        <f>IF(OR(G63="Sunday",G63="Public holiday"),0,H63)</f>
        <v>5.75</v>
      </c>
      <c r="J63" s="8">
        <f>SUMIFS($I$2:$I$149,$C$2:$C$149,C63,$B$2:$B$149,B63,$A$2:$A$149,"&lt;"&amp;A63)</f>
        <v>5</v>
      </c>
      <c r="K63" s="8">
        <f>MAX(0,MIN(I63,OrdHours-J63))</f>
        <v>5.75</v>
      </c>
      <c r="L63" s="8">
        <f>I63-K63</f>
        <v>0</v>
      </c>
      <c r="M63" s="8">
        <f>IF(G63="Sunday",H63,0)</f>
        <v>0</v>
      </c>
      <c r="N63" s="8">
        <f>IF(G63="Public holiday",H63,0)</f>
        <v>0</v>
      </c>
      <c r="O63" s="9">
        <f>INDEX(StaffRates,MATCH(C63,StaffNames,0))</f>
        <v>27.9</v>
      </c>
      <c r="P63" s="9">
        <f>ROUND(O63*(K63*IF(G63="Saturday",SatRate,1)+L63*OTRate+M63*SunRate+N63*PHRate),2)</f>
        <v>160.43</v>
      </c>
      <c r="Q63" s="9">
        <f>ROUND(O63*L63*OTRate,2)</f>
        <v>0</v>
      </c>
      <c r="R63" t="str">
        <f>TRIM(IF(E63="","No finish time ","")&amp;IF(H63&gt;MaxShift,"Shift over limit ","")&amp;IF(AND(H63&gt;5,F63&lt;MinBreak),"Short break ",""))</f>
        <v>Short break</v>
      </c>
    </row>
    <row r="64">
      <c r="A64" s="4" t="n">
        <v>46331</v>
      </c>
      <c r="B64" s="5">
        <f>A64-WEEKDAY(A64,3)</f>
        <v>46328.0</v>
      </c>
      <c r="C64" s="6" t="inlineStr">
        <is>
          <t>Gia Marchant</t>
        </is>
      </c>
      <c r="D64" s="7" t="n">
        <v>0.3333333333333333</v>
      </c>
      <c r="E64" s="7" t="n">
        <v>0.6458333333333334</v>
      </c>
      <c r="F64" s="6" t="n">
        <v>30</v>
      </c>
      <c r="G64" t="str">
        <f>IF(COUNTIF(Holidays,A64)&gt;0,"Public holiday",IF(WEEKDAY(A64,2)=7,"Sunday",IF(WEEKDAY(A64,2)=6,"Saturday","Weekday")))</f>
        <v>Weekday</v>
      </c>
      <c r="H64" s="8">
        <f>IF(OR(D64="",E64=""),0,ROUND(MOD(E64-D64,1)*24-F64/60,2))</f>
        <v>7</v>
      </c>
      <c r="I64" s="8">
        <f>IF(OR(G64="Sunday",G64="Public holiday"),0,H64)</f>
        <v>7</v>
      </c>
      <c r="J64" s="8">
        <f>SUMIFS($I$2:$I$149,$C$2:$C$149,C64,$B$2:$B$149,B64,$A$2:$A$149,"&lt;"&amp;A64)</f>
        <v>8.5</v>
      </c>
      <c r="K64" s="8">
        <f>MAX(0,MIN(I64,OrdHours-J64))</f>
        <v>7</v>
      </c>
      <c r="L64" s="8">
        <f>I64-K64</f>
        <v>0</v>
      </c>
      <c r="M64" s="8">
        <f>IF(G64="Sunday",H64,0)</f>
        <v>0</v>
      </c>
      <c r="N64" s="8">
        <f>IF(G64="Public holiday",H64,0)</f>
        <v>0</v>
      </c>
      <c r="O64" s="9">
        <f>INDEX(StaffRates,MATCH(C64,StaffNames,0))</f>
        <v>29.6</v>
      </c>
      <c r="P64" s="9">
        <f>ROUND(O64*(K64*IF(G64="Saturday",SatRate,1)+L64*OTRate+M64*SunRate+N64*PHRate),2)</f>
        <v>207.2</v>
      </c>
      <c r="Q64" s="9">
        <f>ROUND(O64*L64*OTRate,2)</f>
        <v>0</v>
      </c>
      <c r="R64">
        <f>TRIM(IF(E64="","No finish time ","")&amp;IF(H64&gt;MaxShift,"Shift over limit ","")&amp;IF(AND(H64&gt;5,F64&lt;MinBreak),"Short break ",""))</f>
      </c>
    </row>
    <row r="65">
      <c r="A65" s="4" t="n">
        <v>46331</v>
      </c>
      <c r="B65" s="5">
        <f>A65-WEEKDAY(A65,3)</f>
        <v>46328.0</v>
      </c>
      <c r="C65" s="6" t="inlineStr">
        <is>
          <t>Hugo Brandt</t>
        </is>
      </c>
      <c r="D65" s="7" t="n">
        <v>0.9166666666666666</v>
      </c>
      <c r="E65" s="7" t="n">
        <v>0.1666666666666667</v>
      </c>
      <c r="F65" s="6" t="n">
        <v>15</v>
      </c>
      <c r="G65" t="str">
        <f>IF(COUNTIF(Holidays,A65)&gt;0,"Public holiday",IF(WEEKDAY(A65,2)=7,"Sunday",IF(WEEKDAY(A65,2)=6,"Saturday","Weekday")))</f>
        <v>Weekday</v>
      </c>
      <c r="H65" s="8">
        <f>IF(OR(D65="",E65=""),0,ROUND(MOD(E65-D65,1)*24-F65/60,2))</f>
        <v>5.75</v>
      </c>
      <c r="I65" s="8">
        <f>IF(OR(G65="Sunday",G65="Public holiday"),0,H65)</f>
        <v>5.75</v>
      </c>
      <c r="J65" s="8">
        <f>SUMIFS($I$2:$I$149,$C$2:$C$149,C65,$B$2:$B$149,B65,$A$2:$A$149,"&lt;"&amp;A65)</f>
        <v>15</v>
      </c>
      <c r="K65" s="8">
        <f>MAX(0,MIN(I65,OrdHours-J65))</f>
        <v>5.75</v>
      </c>
      <c r="L65" s="8">
        <f>I65-K65</f>
        <v>0</v>
      </c>
      <c r="M65" s="8">
        <f>IF(G65="Sunday",H65,0)</f>
        <v>0</v>
      </c>
      <c r="N65" s="8">
        <f>IF(G65="Public holiday",H65,0)</f>
        <v>0</v>
      </c>
      <c r="O65" s="9">
        <f>INDEX(StaffRates,MATCH(C65,StaffNames,0))</f>
        <v>35.4</v>
      </c>
      <c r="P65" s="9">
        <f>ROUND(O65*(K65*IF(G65="Saturday",SatRate,1)+L65*OTRate+M65*SunRate+N65*PHRate),2)</f>
        <v>203.55</v>
      </c>
      <c r="Q65" s="9">
        <f>ROUND(O65*L65*OTRate,2)</f>
        <v>0</v>
      </c>
      <c r="R65" t="str">
        <f>TRIM(IF(E65="","No finish time ","")&amp;IF(H65&gt;MaxShift,"Shift over limit ","")&amp;IF(AND(H65&gt;5,F65&lt;MinBreak),"Short break ",""))</f>
        <v>Short break</v>
      </c>
    </row>
    <row r="66">
      <c r="A66" s="4" t="n">
        <v>46332</v>
      </c>
      <c r="B66" s="5">
        <f>A66-WEEKDAY(A66,3)</f>
        <v>46328.0</v>
      </c>
      <c r="C66" s="6" t="inlineStr">
        <is>
          <t>Ava Kingsley</t>
        </is>
      </c>
      <c r="D66" s="7" t="n">
        <v>0.25</v>
      </c>
      <c r="E66" s="7" t="n">
        <v>0.6458333333333334</v>
      </c>
      <c r="F66" s="6" t="n">
        <v>30</v>
      </c>
      <c r="G66" t="str">
        <f>IF(COUNTIF(Holidays,A66)&gt;0,"Public holiday",IF(WEEKDAY(A66,2)=7,"Sunday",IF(WEEKDAY(A66,2)=6,"Saturday","Weekday")))</f>
        <v>Weekday</v>
      </c>
      <c r="H66" s="8">
        <f>IF(OR(D66="",E66=""),0,ROUND(MOD(E66-D66,1)*24-F66/60,2))</f>
        <v>9</v>
      </c>
      <c r="I66" s="8">
        <f>IF(OR(G66="Sunday",G66="Public holiday"),0,H66)</f>
        <v>9</v>
      </c>
      <c r="J66" s="8">
        <f>SUMIFS($I$2:$I$149,$C$2:$C$149,C66,$B$2:$B$149,B66,$A$2:$A$149,"&lt;"&amp;A66)</f>
        <v>19</v>
      </c>
      <c r="K66" s="8">
        <f>MAX(0,MIN(I66,OrdHours-J66))</f>
        <v>9</v>
      </c>
      <c r="L66" s="8">
        <f>I66-K66</f>
        <v>0</v>
      </c>
      <c r="M66" s="8">
        <f>IF(G66="Sunday",H66,0)</f>
        <v>0</v>
      </c>
      <c r="N66" s="8">
        <f>IF(G66="Public holiday",H66,0)</f>
        <v>0</v>
      </c>
      <c r="O66" s="9">
        <f>INDEX(StaffRates,MATCH(C66,StaffNames,0))</f>
        <v>34.8</v>
      </c>
      <c r="P66" s="9">
        <f>ROUND(O66*(K66*IF(G66="Saturday",SatRate,1)+L66*OTRate+M66*SunRate+N66*PHRate),2)</f>
        <v>313.2</v>
      </c>
      <c r="Q66" s="9">
        <f>ROUND(O66*L66*OTRate,2)</f>
        <v>0</v>
      </c>
      <c r="R66">
        <f>TRIM(IF(E66="","No finish time ","")&amp;IF(H66&gt;MaxShift,"Shift over limit ","")&amp;IF(AND(H66&gt;5,F66&lt;MinBreak),"Short break ",""))</f>
      </c>
    </row>
    <row r="67">
      <c r="A67" s="4" t="n">
        <v>46332</v>
      </c>
      <c r="B67" s="5">
        <f>A67-WEEKDAY(A67,3)</f>
        <v>46328.0</v>
      </c>
      <c r="C67" s="6" t="inlineStr">
        <is>
          <t>Ben Okafor</t>
        </is>
      </c>
      <c r="D67" s="7" t="n">
        <v>0.1666666666666667</v>
      </c>
      <c r="E67" s="7" t="n">
        <v>0.5208333333333334</v>
      </c>
      <c r="F67" s="6" t="n">
        <v>30</v>
      </c>
      <c r="G67" t="str">
        <f>IF(COUNTIF(Holidays,A67)&gt;0,"Public holiday",IF(WEEKDAY(A67,2)=7,"Sunday",IF(WEEKDAY(A67,2)=6,"Saturday","Weekday")))</f>
        <v>Weekday</v>
      </c>
      <c r="H67" s="8">
        <f>IF(OR(D67="",E67=""),0,ROUND(MOD(E67-D67,1)*24-F67/60,2))</f>
        <v>8</v>
      </c>
      <c r="I67" s="8">
        <f>IF(OR(G67="Sunday",G67="Public holiday"),0,H67)</f>
        <v>8</v>
      </c>
      <c r="J67" s="8">
        <f>SUMIFS($I$2:$I$149,$C$2:$C$149,C67,$B$2:$B$149,B67,$A$2:$A$149,"&lt;"&amp;A67)</f>
        <v>24</v>
      </c>
      <c r="K67" s="8">
        <f>MAX(0,MIN(I67,OrdHours-J67))</f>
        <v>8</v>
      </c>
      <c r="L67" s="8">
        <f>I67-K67</f>
        <v>0</v>
      </c>
      <c r="M67" s="8">
        <f>IF(G67="Sunday",H67,0)</f>
        <v>0</v>
      </c>
      <c r="N67" s="8">
        <f>IF(G67="Public holiday",H67,0)</f>
        <v>0</v>
      </c>
      <c r="O67" s="9">
        <f>INDEX(StaffRates,MATCH(C67,StaffNames,0))</f>
        <v>33.1</v>
      </c>
      <c r="P67" s="9">
        <f>ROUND(O67*(K67*IF(G67="Saturday",SatRate,1)+L67*OTRate+M67*SunRate+N67*PHRate),2)</f>
        <v>264.8</v>
      </c>
      <c r="Q67" s="9">
        <f>ROUND(O67*L67*OTRate,2)</f>
        <v>0</v>
      </c>
      <c r="R67">
        <f>TRIM(IF(E67="","No finish time ","")&amp;IF(H67&gt;MaxShift,"Shift over limit ","")&amp;IF(AND(H67&gt;5,F67&lt;MinBreak),"Short break ",""))</f>
      </c>
    </row>
    <row r="68">
      <c r="A68" s="4" t="n">
        <v>46332</v>
      </c>
      <c r="B68" s="5">
        <f>A68-WEEKDAY(A68,3)</f>
        <v>46328.0</v>
      </c>
      <c r="C68" s="6" t="inlineStr">
        <is>
          <t>Dylan Fraser</t>
        </is>
      </c>
      <c r="D68" s="7" t="n">
        <v>0.25</v>
      </c>
      <c r="E68" s="7" t="n">
        <v>0.625</v>
      </c>
      <c r="F68" s="6" t="n">
        <v>30</v>
      </c>
      <c r="G68" t="str">
        <f>IF(COUNTIF(Holidays,A68)&gt;0,"Public holiday",IF(WEEKDAY(A68,2)=7,"Sunday",IF(WEEKDAY(A68,2)=6,"Saturday","Weekday")))</f>
        <v>Weekday</v>
      </c>
      <c r="H68" s="8">
        <f>IF(OR(D68="",E68=""),0,ROUND(MOD(E68-D68,1)*24-F68/60,2))</f>
        <v>8.5</v>
      </c>
      <c r="I68" s="8">
        <f>IF(OR(G68="Sunday",G68="Public holiday"),0,H68)</f>
        <v>8.5</v>
      </c>
      <c r="J68" s="8">
        <f>SUMIFS($I$2:$I$149,$C$2:$C$149,C68,$B$2:$B$149,B68,$A$2:$A$149,"&lt;"&amp;A68)</f>
        <v>29</v>
      </c>
      <c r="K68" s="8">
        <f>MAX(0,MIN(I68,OrdHours-J68))</f>
        <v>8.5</v>
      </c>
      <c r="L68" s="8">
        <f>I68-K68</f>
        <v>0</v>
      </c>
      <c r="M68" s="8">
        <f>IF(G68="Sunday",H68,0)</f>
        <v>0</v>
      </c>
      <c r="N68" s="8">
        <f>IF(G68="Public holiday",H68,0)</f>
        <v>0</v>
      </c>
      <c r="O68" s="9">
        <f>INDEX(StaffRates,MATCH(C68,StaffNames,0))</f>
        <v>29.6</v>
      </c>
      <c r="P68" s="9">
        <f>ROUND(O68*(K68*IF(G68="Saturday",SatRate,1)+L68*OTRate+M68*SunRate+N68*PHRate),2)</f>
        <v>251.6</v>
      </c>
      <c r="Q68" s="9">
        <f>ROUND(O68*L68*OTRate,2)</f>
        <v>0</v>
      </c>
      <c r="R68">
        <f>TRIM(IF(E68="","No finish time ","")&amp;IF(H68&gt;MaxShift,"Shift over limit ","")&amp;IF(AND(H68&gt;5,F68&lt;MinBreak),"Short break ",""))</f>
      </c>
    </row>
    <row r="69">
      <c r="A69" s="4" t="n">
        <v>46332</v>
      </c>
      <c r="B69" s="5">
        <f>A69-WEEKDAY(A69,3)</f>
        <v>46328.0</v>
      </c>
      <c r="C69" s="6" t="inlineStr">
        <is>
          <t>Esme Rowe</t>
        </is>
      </c>
      <c r="D69" s="7" t="n">
        <v>0.3125</v>
      </c>
      <c r="E69" s="7" t="n">
        <v>0.6458333333333334</v>
      </c>
      <c r="F69" s="6" t="n">
        <v>30</v>
      </c>
      <c r="G69" t="str">
        <f>IF(COUNTIF(Holidays,A69)&gt;0,"Public holiday",IF(WEEKDAY(A69,2)=7,"Sunday",IF(WEEKDAY(A69,2)=6,"Saturday","Weekday")))</f>
        <v>Weekday</v>
      </c>
      <c r="H69" s="8">
        <f>IF(OR(D69="",E69=""),0,ROUND(MOD(E69-D69,1)*24-F69/60,2))</f>
        <v>7.5</v>
      </c>
      <c r="I69" s="8">
        <f>IF(OR(G69="Sunday",G69="Public holiday"),0,H69)</f>
        <v>7.5</v>
      </c>
      <c r="J69" s="8">
        <f>SUMIFS($I$2:$I$149,$C$2:$C$149,C69,$B$2:$B$149,B69,$A$2:$A$149,"&lt;"&amp;A69)</f>
        <v>10.75</v>
      </c>
      <c r="K69" s="8">
        <f>MAX(0,MIN(I69,OrdHours-J69))</f>
        <v>7.5</v>
      </c>
      <c r="L69" s="8">
        <f>I69-K69</f>
        <v>0</v>
      </c>
      <c r="M69" s="8">
        <f>IF(G69="Sunday",H69,0)</f>
        <v>0</v>
      </c>
      <c r="N69" s="8">
        <f>IF(G69="Public holiday",H69,0)</f>
        <v>0</v>
      </c>
      <c r="O69" s="9">
        <f>INDEX(StaffRates,MATCH(C69,StaffNames,0))</f>
        <v>27.9</v>
      </c>
      <c r="P69" s="9">
        <f>ROUND(O69*(K69*IF(G69="Saturday",SatRate,1)+L69*OTRate+M69*SunRate+N69*PHRate),2)</f>
        <v>209.25</v>
      </c>
      <c r="Q69" s="9">
        <f>ROUND(O69*L69*OTRate,2)</f>
        <v>0</v>
      </c>
      <c r="R69">
        <f>TRIM(IF(E69="","No finish time ","")&amp;IF(H69&gt;MaxShift,"Shift over limit ","")&amp;IF(AND(H69&gt;5,F69&lt;MinBreak),"Short break ",""))</f>
      </c>
    </row>
    <row r="70">
      <c r="A70" s="4" t="n">
        <v>46332</v>
      </c>
      <c r="B70" s="5">
        <f>A70-WEEKDAY(A70,3)</f>
        <v>46328.0</v>
      </c>
      <c r="C70" s="6" t="inlineStr">
        <is>
          <t>Felix Nguyen</t>
        </is>
      </c>
      <c r="D70" s="7" t="n">
        <v>0.4583333333333333</v>
      </c>
      <c r="E70" s="7" t="n">
        <v>0.775</v>
      </c>
      <c r="F70" s="6" t="n">
        <v>30</v>
      </c>
      <c r="G70" t="str">
        <f>IF(COUNTIF(Holidays,A70)&gt;0,"Public holiday",IF(WEEKDAY(A70,2)=7,"Sunday",IF(WEEKDAY(A70,2)=6,"Saturday","Weekday")))</f>
        <v>Weekday</v>
      </c>
      <c r="H70" s="8">
        <f>IF(OR(D70="",E70=""),0,ROUND(MOD(E70-D70,1)*24-F70/60,2))</f>
        <v>7.1</v>
      </c>
      <c r="I70" s="8">
        <f>IF(OR(G70="Sunday",G70="Public holiday"),0,H70)</f>
        <v>7.1</v>
      </c>
      <c r="J70" s="8">
        <f>SUMIFS($I$2:$I$149,$C$2:$C$149,C70,$B$2:$B$149,B70,$A$2:$A$149,"&lt;"&amp;A70)</f>
        <v>0</v>
      </c>
      <c r="K70" s="8">
        <f>MAX(0,MIN(I70,OrdHours-J70))</f>
        <v>7.1</v>
      </c>
      <c r="L70" s="8">
        <f>I70-K70</f>
        <v>0</v>
      </c>
      <c r="M70" s="8">
        <f>IF(G70="Sunday",H70,0)</f>
        <v>0</v>
      </c>
      <c r="N70" s="8">
        <f>IF(G70="Public holiday",H70,0)</f>
        <v>0</v>
      </c>
      <c r="O70" s="9">
        <f>INDEX(StaffRates,MATCH(C70,StaffNames,0))</f>
        <v>27.9</v>
      </c>
      <c r="P70" s="9">
        <f>ROUND(O70*(K70*IF(G70="Saturday",SatRate,1)+L70*OTRate+M70*SunRate+N70*PHRate),2)</f>
        <v>198.09</v>
      </c>
      <c r="Q70" s="9">
        <f>ROUND(O70*L70*OTRate,2)</f>
        <v>0</v>
      </c>
      <c r="R70">
        <f>TRIM(IF(E70="","No finish time ","")&amp;IF(H70&gt;MaxShift,"Shift over limit ","")&amp;IF(AND(H70&gt;5,F70&lt;MinBreak),"Short break ",""))</f>
      </c>
    </row>
    <row r="71">
      <c r="A71" s="4" t="n">
        <v>46332</v>
      </c>
      <c r="B71" s="5">
        <f>A71-WEEKDAY(A71,3)</f>
        <v>46328.0</v>
      </c>
      <c r="C71" s="6" t="inlineStr">
        <is>
          <t>Gia Marchant</t>
        </is>
      </c>
      <c r="D71" s="7" t="n">
        <v>0.3125</v>
      </c>
      <c r="E71" s="7" t="n">
        <v>0.6666666666666666</v>
      </c>
      <c r="F71" s="6" t="n">
        <v>30</v>
      </c>
      <c r="G71" t="str">
        <f>IF(COUNTIF(Holidays,A71)&gt;0,"Public holiday",IF(WEEKDAY(A71,2)=7,"Sunday",IF(WEEKDAY(A71,2)=6,"Saturday","Weekday")))</f>
        <v>Weekday</v>
      </c>
      <c r="H71" s="8">
        <f>IF(OR(D71="",E71=""),0,ROUND(MOD(E71-D71,1)*24-F71/60,2))</f>
        <v>8</v>
      </c>
      <c r="I71" s="8">
        <f>IF(OR(G71="Sunday",G71="Public holiday"),0,H71)</f>
        <v>8</v>
      </c>
      <c r="J71" s="8">
        <f>SUMIFS($I$2:$I$149,$C$2:$C$149,C71,$B$2:$B$149,B71,$A$2:$A$149,"&lt;"&amp;A71)</f>
        <v>15.5</v>
      </c>
      <c r="K71" s="8">
        <f>MAX(0,MIN(I71,OrdHours-J71))</f>
        <v>8</v>
      </c>
      <c r="L71" s="8">
        <f>I71-K71</f>
        <v>0</v>
      </c>
      <c r="M71" s="8">
        <f>IF(G71="Sunday",H71,0)</f>
        <v>0</v>
      </c>
      <c r="N71" s="8">
        <f>IF(G71="Public holiday",H71,0)</f>
        <v>0</v>
      </c>
      <c r="O71" s="9">
        <f>INDEX(StaffRates,MATCH(C71,StaffNames,0))</f>
        <v>29.6</v>
      </c>
      <c r="P71" s="9">
        <f>ROUND(O71*(K71*IF(G71="Saturday",SatRate,1)+L71*OTRate+M71*SunRate+N71*PHRate),2)</f>
        <v>236.8</v>
      </c>
      <c r="Q71" s="9">
        <f>ROUND(O71*L71*OTRate,2)</f>
        <v>0</v>
      </c>
      <c r="R71">
        <f>TRIM(IF(E71="","No finish time ","")&amp;IF(H71&gt;MaxShift,"Shift over limit ","")&amp;IF(AND(H71&gt;5,F71&lt;MinBreak),"Short break ",""))</f>
      </c>
    </row>
    <row r="72">
      <c r="A72" s="4" t="n">
        <v>46333</v>
      </c>
      <c r="B72" s="5">
        <f>A72-WEEKDAY(A72,3)</f>
        <v>46328.0</v>
      </c>
      <c r="C72" s="6" t="inlineStr">
        <is>
          <t>Ava Kingsley</t>
        </is>
      </c>
      <c r="D72" s="7" t="n">
        <v>0.2708333333333333</v>
      </c>
      <c r="E72" s="7" t="n">
        <v>0.625</v>
      </c>
      <c r="F72" s="6" t="n">
        <v>30</v>
      </c>
      <c r="G72" t="str">
        <f>IF(COUNTIF(Holidays,A72)&gt;0,"Public holiday",IF(WEEKDAY(A72,2)=7,"Sunday",IF(WEEKDAY(A72,2)=6,"Saturday","Weekday")))</f>
        <v>Saturday</v>
      </c>
      <c r="H72" s="8">
        <f>IF(OR(D72="",E72=""),0,ROUND(MOD(E72-D72,1)*24-F72/60,2))</f>
        <v>8</v>
      </c>
      <c r="I72" s="8">
        <f>IF(OR(G72="Sunday",G72="Public holiday"),0,H72)</f>
        <v>8</v>
      </c>
      <c r="J72" s="8">
        <f>SUMIFS($I$2:$I$149,$C$2:$C$149,C72,$B$2:$B$149,B72,$A$2:$A$149,"&lt;"&amp;A72)</f>
        <v>28</v>
      </c>
      <c r="K72" s="8">
        <f>MAX(0,MIN(I72,OrdHours-J72))</f>
        <v>8</v>
      </c>
      <c r="L72" s="8">
        <f>I72-K72</f>
        <v>0</v>
      </c>
      <c r="M72" s="8">
        <f>IF(G72="Sunday",H72,0)</f>
        <v>0</v>
      </c>
      <c r="N72" s="8">
        <f>IF(G72="Public holiday",H72,0)</f>
        <v>0</v>
      </c>
      <c r="O72" s="9">
        <f>INDEX(StaffRates,MATCH(C72,StaffNames,0))</f>
        <v>34.8</v>
      </c>
      <c r="P72" s="9">
        <f>ROUND(O72*(K72*IF(G72="Saturday",SatRate,1)+L72*OTRate+M72*SunRate+N72*PHRate),2)</f>
        <v>348</v>
      </c>
      <c r="Q72" s="9">
        <f>ROUND(O72*L72*OTRate,2)</f>
        <v>0</v>
      </c>
      <c r="R72">
        <f>TRIM(IF(E72="","No finish time ","")&amp;IF(H72&gt;MaxShift,"Shift over limit ","")&amp;IF(AND(H72&gt;5,F72&lt;MinBreak),"Short break ",""))</f>
      </c>
    </row>
    <row r="73">
      <c r="A73" s="4" t="n">
        <v>46333</v>
      </c>
      <c r="B73" s="5">
        <f>A73-WEEKDAY(A73,3)</f>
        <v>46328.0</v>
      </c>
      <c r="C73" s="6" t="inlineStr">
        <is>
          <t>Cara Delmonte</t>
        </is>
      </c>
      <c r="D73" s="7" t="n">
        <v>0.1875</v>
      </c>
      <c r="E73" s="7" t="n">
        <v>0.6041666666666666</v>
      </c>
      <c r="F73" s="6" t="n">
        <v>30</v>
      </c>
      <c r="G73" t="str">
        <f>IF(COUNTIF(Holidays,A73)&gt;0,"Public holiday",IF(WEEKDAY(A73,2)=7,"Sunday",IF(WEEKDAY(A73,2)=6,"Saturday","Weekday")))</f>
        <v>Saturday</v>
      </c>
      <c r="H73" s="8">
        <f>IF(OR(D73="",E73=""),0,ROUND(MOD(E73-D73,1)*24-F73/60,2))</f>
        <v>9.5</v>
      </c>
      <c r="I73" s="8">
        <f>IF(OR(G73="Sunday",G73="Public holiday"),0,H73)</f>
        <v>9.5</v>
      </c>
      <c r="J73" s="8">
        <f>SUMIFS($I$2:$I$149,$C$2:$C$149,C73,$B$2:$B$149,B73,$A$2:$A$149,"&lt;"&amp;A73)</f>
        <v>26</v>
      </c>
      <c r="K73" s="8">
        <f>MAX(0,MIN(I73,OrdHours-J73))</f>
        <v>9.5</v>
      </c>
      <c r="L73" s="8">
        <f>I73-K73</f>
        <v>0</v>
      </c>
      <c r="M73" s="8">
        <f>IF(G73="Sunday",H73,0)</f>
        <v>0</v>
      </c>
      <c r="N73" s="8">
        <f>IF(G73="Public holiday",H73,0)</f>
        <v>0</v>
      </c>
      <c r="O73" s="9">
        <f>INDEX(StaffRates,MATCH(C73,StaffNames,0))</f>
        <v>36.2</v>
      </c>
      <c r="P73" s="9">
        <f>ROUND(O73*(K73*IF(G73="Saturday",SatRate,1)+L73*OTRate+M73*SunRate+N73*PHRate),2)</f>
        <v>429.88</v>
      </c>
      <c r="Q73" s="9">
        <f>ROUND(O73*L73*OTRate,2)</f>
        <v>0</v>
      </c>
      <c r="R73">
        <f>TRIM(IF(E73="","No finish time ","")&amp;IF(H73&gt;MaxShift,"Shift over limit ","")&amp;IF(AND(H73&gt;5,F73&lt;MinBreak),"Short break ",""))</f>
      </c>
    </row>
    <row r="74">
      <c r="A74" s="4" t="n">
        <v>46333</v>
      </c>
      <c r="B74" s="5">
        <f>A74-WEEKDAY(A74,3)</f>
        <v>46328.0</v>
      </c>
      <c r="C74" s="6" t="inlineStr">
        <is>
          <t>Felix Nguyen</t>
        </is>
      </c>
      <c r="D74" s="7" t="n">
        <v>0.46875</v>
      </c>
      <c r="E74" s="7" t="n">
        <v>0.71875</v>
      </c>
      <c r="F74" s="6" t="n">
        <v>30</v>
      </c>
      <c r="G74" t="str">
        <f>IF(COUNTIF(Holidays,A74)&gt;0,"Public holiday",IF(WEEKDAY(A74,2)=7,"Sunday",IF(WEEKDAY(A74,2)=6,"Saturday","Weekday")))</f>
        <v>Saturday</v>
      </c>
      <c r="H74" s="8">
        <f>IF(OR(D74="",E74=""),0,ROUND(MOD(E74-D74,1)*24-F74/60,2))</f>
        <v>5.5</v>
      </c>
      <c r="I74" s="8">
        <f>IF(OR(G74="Sunday",G74="Public holiday"),0,H74)</f>
        <v>5.5</v>
      </c>
      <c r="J74" s="8">
        <f>SUMIFS($I$2:$I$149,$C$2:$C$149,C74,$B$2:$B$149,B74,$A$2:$A$149,"&lt;"&amp;A74)</f>
        <v>7.1</v>
      </c>
      <c r="K74" s="8">
        <f>MAX(0,MIN(I74,OrdHours-J74))</f>
        <v>5.5</v>
      </c>
      <c r="L74" s="8">
        <f>I74-K74</f>
        <v>0</v>
      </c>
      <c r="M74" s="8">
        <f>IF(G74="Sunday",H74,0)</f>
        <v>0</v>
      </c>
      <c r="N74" s="8">
        <f>IF(G74="Public holiday",H74,0)</f>
        <v>0</v>
      </c>
      <c r="O74" s="9">
        <f>INDEX(StaffRates,MATCH(C74,StaffNames,0))</f>
        <v>27.9</v>
      </c>
      <c r="P74" s="9">
        <f>ROUND(O74*(K74*IF(G74="Saturday",SatRate,1)+L74*OTRate+M74*SunRate+N74*PHRate),2)</f>
        <v>191.81</v>
      </c>
      <c r="Q74" s="9">
        <f>ROUND(O74*L74*OTRate,2)</f>
        <v>0</v>
      </c>
      <c r="R74">
        <f>TRIM(IF(E74="","No finish time ","")&amp;IF(H74&gt;MaxShift,"Shift over limit ","")&amp;IF(AND(H74&gt;5,F74&lt;MinBreak),"Short break ",""))</f>
      </c>
    </row>
    <row r="75">
      <c r="A75" s="4" t="n">
        <v>46333</v>
      </c>
      <c r="B75" s="5">
        <f>A75-WEEKDAY(A75,3)</f>
        <v>46328.0</v>
      </c>
      <c r="C75" s="6" t="inlineStr">
        <is>
          <t>Hugo Brandt</t>
        </is>
      </c>
      <c r="D75" s="7" t="n">
        <v>0.9375</v>
      </c>
      <c r="E75" s="7" t="n">
        <v>0.2708333333333333</v>
      </c>
      <c r="F75" s="6" t="n">
        <v>30</v>
      </c>
      <c r="G75" t="str">
        <f>IF(COUNTIF(Holidays,A75)&gt;0,"Public holiday",IF(WEEKDAY(A75,2)=7,"Sunday",IF(WEEKDAY(A75,2)=6,"Saturday","Weekday")))</f>
        <v>Saturday</v>
      </c>
      <c r="H75" s="8">
        <f>IF(OR(D75="",E75=""),0,ROUND(MOD(E75-D75,1)*24-F75/60,2))</f>
        <v>7.5</v>
      </c>
      <c r="I75" s="8">
        <f>IF(OR(G75="Sunday",G75="Public holiday"),0,H75)</f>
        <v>7.5</v>
      </c>
      <c r="J75" s="8">
        <f>SUMIFS($I$2:$I$149,$C$2:$C$149,C75,$B$2:$B$149,B75,$A$2:$A$149,"&lt;"&amp;A75)</f>
        <v>20.75</v>
      </c>
      <c r="K75" s="8">
        <f>MAX(0,MIN(I75,OrdHours-J75))</f>
        <v>7.5</v>
      </c>
      <c r="L75" s="8">
        <f>I75-K75</f>
        <v>0</v>
      </c>
      <c r="M75" s="8">
        <f>IF(G75="Sunday",H75,0)</f>
        <v>0</v>
      </c>
      <c r="N75" s="8">
        <f>IF(G75="Public holiday",H75,0)</f>
        <v>0</v>
      </c>
      <c r="O75" s="9">
        <f>INDEX(StaffRates,MATCH(C75,StaffNames,0))</f>
        <v>35.4</v>
      </c>
      <c r="P75" s="9">
        <f>ROUND(O75*(K75*IF(G75="Saturday",SatRate,1)+L75*OTRate+M75*SunRate+N75*PHRate),2)</f>
        <v>331.88</v>
      </c>
      <c r="Q75" s="9">
        <f>ROUND(O75*L75*OTRate,2)</f>
        <v>0</v>
      </c>
      <c r="R75">
        <f>TRIM(IF(E75="","No finish time ","")&amp;IF(H75&gt;MaxShift,"Shift over limit ","")&amp;IF(AND(H75&gt;5,F75&lt;MinBreak),"Short break ",""))</f>
      </c>
    </row>
    <row r="76">
      <c r="A76" s="4" t="n">
        <v>46334</v>
      </c>
      <c r="B76" s="5">
        <f>A76-WEEKDAY(A76,3)</f>
        <v>46328.0</v>
      </c>
      <c r="C76" s="6" t="inlineStr">
        <is>
          <t>Cara Delmonte</t>
        </is>
      </c>
      <c r="D76" s="7" t="n">
        <v>0.21875</v>
      </c>
      <c r="E76" s="7" t="n">
        <v>0.59375</v>
      </c>
      <c r="F76" s="6" t="n">
        <v>30</v>
      </c>
      <c r="G76" t="str">
        <f>IF(COUNTIF(Holidays,A76)&gt;0,"Public holiday",IF(WEEKDAY(A76,2)=7,"Sunday",IF(WEEKDAY(A76,2)=6,"Saturday","Weekday")))</f>
        <v>Sunday</v>
      </c>
      <c r="H76" s="8">
        <f>IF(OR(D76="",E76=""),0,ROUND(MOD(E76-D76,1)*24-F76/60,2))</f>
        <v>8.5</v>
      </c>
      <c r="I76" s="8">
        <f>IF(OR(G76="Sunday",G76="Public holiday"),0,H76)</f>
        <v>0</v>
      </c>
      <c r="J76" s="8">
        <f>SUMIFS($I$2:$I$149,$C$2:$C$149,C76,$B$2:$B$149,B76,$A$2:$A$149,"&lt;"&amp;A76)</f>
        <v>35.5</v>
      </c>
      <c r="K76" s="8">
        <f>MAX(0,MIN(I76,OrdHours-J76))</f>
        <v>0</v>
      </c>
      <c r="L76" s="8">
        <f>I76-K76</f>
        <v>0</v>
      </c>
      <c r="M76" s="8">
        <f>IF(G76="Sunday",H76,0)</f>
        <v>8.5</v>
      </c>
      <c r="N76" s="8">
        <f>IF(G76="Public holiday",H76,0)</f>
        <v>0</v>
      </c>
      <c r="O76" s="9">
        <f>INDEX(StaffRates,MATCH(C76,StaffNames,0))</f>
        <v>36.2</v>
      </c>
      <c r="P76" s="9">
        <f>ROUND(O76*(K76*IF(G76="Saturday",SatRate,1)+L76*OTRate+M76*SunRate+N76*PHRate),2)</f>
        <v>461.55</v>
      </c>
      <c r="Q76" s="9">
        <f>ROUND(O76*L76*OTRate,2)</f>
        <v>0</v>
      </c>
      <c r="R76">
        <f>TRIM(IF(E76="","No finish time ","")&amp;IF(H76&gt;MaxShift,"Shift over limit ","")&amp;IF(AND(H76&gt;5,F76&lt;MinBreak),"Short break ",""))</f>
      </c>
    </row>
    <row r="77">
      <c r="A77" s="4" t="n">
        <v>46334</v>
      </c>
      <c r="B77" s="5">
        <f>A77-WEEKDAY(A77,3)</f>
        <v>46328.0</v>
      </c>
      <c r="C77" s="6" t="inlineStr">
        <is>
          <t>Dylan Fraser</t>
        </is>
      </c>
      <c r="D77" s="7" t="n">
        <v>0.2708333333333333</v>
      </c>
      <c r="E77" s="7" t="n">
        <v>0.4791666666666667</v>
      </c>
      <c r="F77" s="6" t="n">
        <v>0</v>
      </c>
      <c r="G77" t="str">
        <f>IF(COUNTIF(Holidays,A77)&gt;0,"Public holiday",IF(WEEKDAY(A77,2)=7,"Sunday",IF(WEEKDAY(A77,2)=6,"Saturday","Weekday")))</f>
        <v>Sunday</v>
      </c>
      <c r="H77" s="8">
        <f>IF(OR(D77="",E77=""),0,ROUND(MOD(E77-D77,1)*24-F77/60,2))</f>
        <v>5</v>
      </c>
      <c r="I77" s="8">
        <f>IF(OR(G77="Sunday",G77="Public holiday"),0,H77)</f>
        <v>0</v>
      </c>
      <c r="J77" s="8">
        <f>SUMIFS($I$2:$I$149,$C$2:$C$149,C77,$B$2:$B$149,B77,$A$2:$A$149,"&lt;"&amp;A77)</f>
        <v>37.5</v>
      </c>
      <c r="K77" s="8">
        <f>MAX(0,MIN(I77,OrdHours-J77))</f>
        <v>0</v>
      </c>
      <c r="L77" s="8">
        <f>I77-K77</f>
        <v>0</v>
      </c>
      <c r="M77" s="8">
        <f>IF(G77="Sunday",H77,0)</f>
        <v>5</v>
      </c>
      <c r="N77" s="8">
        <f>IF(G77="Public holiday",H77,0)</f>
        <v>0</v>
      </c>
      <c r="O77" s="9">
        <f>INDEX(StaffRates,MATCH(C77,StaffNames,0))</f>
        <v>29.6</v>
      </c>
      <c r="P77" s="9">
        <f>ROUND(O77*(K77*IF(G77="Saturday",SatRate,1)+L77*OTRate+M77*SunRate+N77*PHRate),2)</f>
        <v>222</v>
      </c>
      <c r="Q77" s="9">
        <f>ROUND(O77*L77*OTRate,2)</f>
        <v>0</v>
      </c>
      <c r="R77">
        <f>TRIM(IF(E77="","No finish time ","")&amp;IF(H77&gt;MaxShift,"Shift over limit ","")&amp;IF(AND(H77&gt;5,F77&lt;MinBreak),"Short break ",""))</f>
      </c>
    </row>
    <row r="78">
      <c r="A78" s="4" t="n">
        <v>46334</v>
      </c>
      <c r="B78" s="5">
        <f>A78-WEEKDAY(A78,3)</f>
        <v>46328.0</v>
      </c>
      <c r="C78" s="6" t="inlineStr">
        <is>
          <t>Hugo Brandt</t>
        </is>
      </c>
      <c r="D78" s="7" t="n">
        <v>0.9166666666666666</v>
      </c>
      <c r="E78" s="7" t="n">
        <v>0.125</v>
      </c>
      <c r="F78" s="6" t="n">
        <v>0</v>
      </c>
      <c r="G78" t="str">
        <f>IF(COUNTIF(Holidays,A78)&gt;0,"Public holiday",IF(WEEKDAY(A78,2)=7,"Sunday",IF(WEEKDAY(A78,2)=6,"Saturday","Weekday")))</f>
        <v>Sunday</v>
      </c>
      <c r="H78" s="8">
        <f>IF(OR(D78="",E78=""),0,ROUND(MOD(E78-D78,1)*24-F78/60,2))</f>
        <v>5</v>
      </c>
      <c r="I78" s="8">
        <f>IF(OR(G78="Sunday",G78="Public holiday"),0,H78)</f>
        <v>0</v>
      </c>
      <c r="J78" s="8">
        <f>SUMIFS($I$2:$I$149,$C$2:$C$149,C78,$B$2:$B$149,B78,$A$2:$A$149,"&lt;"&amp;A78)</f>
        <v>28.25</v>
      </c>
      <c r="K78" s="8">
        <f>MAX(0,MIN(I78,OrdHours-J78))</f>
        <v>0</v>
      </c>
      <c r="L78" s="8">
        <f>I78-K78</f>
        <v>0</v>
      </c>
      <c r="M78" s="8">
        <f>IF(G78="Sunday",H78,0)</f>
        <v>5</v>
      </c>
      <c r="N78" s="8">
        <f>IF(G78="Public holiday",H78,0)</f>
        <v>0</v>
      </c>
      <c r="O78" s="9">
        <f>INDEX(StaffRates,MATCH(C78,StaffNames,0))</f>
        <v>35.4</v>
      </c>
      <c r="P78" s="9">
        <f>ROUND(O78*(K78*IF(G78="Saturday",SatRate,1)+L78*OTRate+M78*SunRate+N78*PHRate),2)</f>
        <v>265.5</v>
      </c>
      <c r="Q78" s="9">
        <f>ROUND(O78*L78*OTRate,2)</f>
        <v>0</v>
      </c>
      <c r="R78">
        <f>TRIM(IF(E78="","No finish time ","")&amp;IF(H78&gt;MaxShift,"Shift over limit ","")&amp;IF(AND(H78&gt;5,F78&lt;MinBreak),"Short break ",""))</f>
      </c>
    </row>
    <row r="79">
      <c r="A79" s="4" t="n">
        <v>46335</v>
      </c>
      <c r="B79" s="5">
        <f>A79-WEEKDAY(A79,3)</f>
        <v>46335.0</v>
      </c>
      <c r="C79" s="6" t="inlineStr">
        <is>
          <t>Ben Okafor</t>
        </is>
      </c>
      <c r="D79" s="7" t="n">
        <v>0.1666666666666667</v>
      </c>
      <c r="E79" s="7" t="n">
        <v>0.5416666666666666</v>
      </c>
      <c r="F79" s="6" t="n">
        <v>30</v>
      </c>
      <c r="G79" t="str">
        <f>IF(COUNTIF(Holidays,A79)&gt;0,"Public holiday",IF(WEEKDAY(A79,2)=7,"Sunday",IF(WEEKDAY(A79,2)=6,"Saturday","Weekday")))</f>
        <v>Weekday</v>
      </c>
      <c r="H79" s="8">
        <f>IF(OR(D79="",E79=""),0,ROUND(MOD(E79-D79,1)*24-F79/60,2))</f>
        <v>8.5</v>
      </c>
      <c r="I79" s="8">
        <f>IF(OR(G79="Sunday",G79="Public holiday"),0,H79)</f>
        <v>8.5</v>
      </c>
      <c r="J79" s="8">
        <f>SUMIFS($I$2:$I$149,$C$2:$C$149,C79,$B$2:$B$149,B79,$A$2:$A$149,"&lt;"&amp;A79)</f>
        <v>0</v>
      </c>
      <c r="K79" s="8">
        <f>MAX(0,MIN(I79,OrdHours-J79))</f>
        <v>8.5</v>
      </c>
      <c r="L79" s="8">
        <f>I79-K79</f>
        <v>0</v>
      </c>
      <c r="M79" s="8">
        <f>IF(G79="Sunday",H79,0)</f>
        <v>0</v>
      </c>
      <c r="N79" s="8">
        <f>IF(G79="Public holiday",H79,0)</f>
        <v>0</v>
      </c>
      <c r="O79" s="9">
        <f>INDEX(StaffRates,MATCH(C79,StaffNames,0))</f>
        <v>33.1</v>
      </c>
      <c r="P79" s="9">
        <f>ROUND(O79*(K79*IF(G79="Saturday",SatRate,1)+L79*OTRate+M79*SunRate+N79*PHRate),2)</f>
        <v>281.35</v>
      </c>
      <c r="Q79" s="9">
        <f>ROUND(O79*L79*OTRate,2)</f>
        <v>0</v>
      </c>
      <c r="R79">
        <f>TRIM(IF(E79="","No finish time ","")&amp;IF(H79&gt;MaxShift,"Shift over limit ","")&amp;IF(AND(H79&gt;5,F79&lt;MinBreak),"Short break ",""))</f>
      </c>
    </row>
    <row r="80">
      <c r="A80" s="4" t="n">
        <v>46335</v>
      </c>
      <c r="B80" s="5">
        <f>A80-WEEKDAY(A80,3)</f>
        <v>46335.0</v>
      </c>
      <c r="C80" s="6" t="inlineStr">
        <is>
          <t>Cara Delmonte</t>
        </is>
      </c>
      <c r="D80" s="7" t="n">
        <v>0.2083333333333333</v>
      </c>
      <c r="E80" s="7" t="n">
        <v>0.5833333333333334</v>
      </c>
      <c r="F80" s="6" t="n">
        <v>30</v>
      </c>
      <c r="G80" t="str">
        <f>IF(COUNTIF(Holidays,A80)&gt;0,"Public holiday",IF(WEEKDAY(A80,2)=7,"Sunday",IF(WEEKDAY(A80,2)=6,"Saturday","Weekday")))</f>
        <v>Weekday</v>
      </c>
      <c r="H80" s="8">
        <f>IF(OR(D80="",E80=""),0,ROUND(MOD(E80-D80,1)*24-F80/60,2))</f>
        <v>8.5</v>
      </c>
      <c r="I80" s="8">
        <f>IF(OR(G80="Sunday",G80="Public holiday"),0,H80)</f>
        <v>8.5</v>
      </c>
      <c r="J80" s="8">
        <f>SUMIFS($I$2:$I$149,$C$2:$C$149,C80,$B$2:$B$149,B80,$A$2:$A$149,"&lt;"&amp;A80)</f>
        <v>0</v>
      </c>
      <c r="K80" s="8">
        <f>MAX(0,MIN(I80,OrdHours-J80))</f>
        <v>8.5</v>
      </c>
      <c r="L80" s="8">
        <f>I80-K80</f>
        <v>0</v>
      </c>
      <c r="M80" s="8">
        <f>IF(G80="Sunday",H80,0)</f>
        <v>0</v>
      </c>
      <c r="N80" s="8">
        <f>IF(G80="Public holiday",H80,0)</f>
        <v>0</v>
      </c>
      <c r="O80" s="9">
        <f>INDEX(StaffRates,MATCH(C80,StaffNames,0))</f>
        <v>36.2</v>
      </c>
      <c r="P80" s="9">
        <f>ROUND(O80*(K80*IF(G80="Saturday",SatRate,1)+L80*OTRate+M80*SunRate+N80*PHRate),2)</f>
        <v>307.7</v>
      </c>
      <c r="Q80" s="9">
        <f>ROUND(O80*L80*OTRate,2)</f>
        <v>0</v>
      </c>
      <c r="R80">
        <f>TRIM(IF(E80="","No finish time ","")&amp;IF(H80&gt;MaxShift,"Shift over limit ","")&amp;IF(AND(H80&gt;5,F80&lt;MinBreak),"Short break ",""))</f>
      </c>
    </row>
    <row r="81">
      <c r="A81" s="4" t="n">
        <v>46335</v>
      </c>
      <c r="B81" s="5">
        <f>A81-WEEKDAY(A81,3)</f>
        <v>46335.0</v>
      </c>
      <c r="C81" s="6" t="inlineStr">
        <is>
          <t>Esme Rowe</t>
        </is>
      </c>
      <c r="D81" s="7" t="n">
        <v>0.3020833333333333</v>
      </c>
      <c r="E81" s="7" t="n">
        <v>0.5104166666666666</v>
      </c>
      <c r="F81" s="6" t="n">
        <v>0</v>
      </c>
      <c r="G81" t="str">
        <f>IF(COUNTIF(Holidays,A81)&gt;0,"Public holiday",IF(WEEKDAY(A81,2)=7,"Sunday",IF(WEEKDAY(A81,2)=6,"Saturday","Weekday")))</f>
        <v>Weekday</v>
      </c>
      <c r="H81" s="8">
        <f>IF(OR(D81="",E81=""),0,ROUND(MOD(E81-D81,1)*24-F81/60,2))</f>
        <v>5</v>
      </c>
      <c r="I81" s="8">
        <f>IF(OR(G81="Sunday",G81="Public holiday"),0,H81)</f>
        <v>5</v>
      </c>
      <c r="J81" s="8">
        <f>SUMIFS($I$2:$I$149,$C$2:$C$149,C81,$B$2:$B$149,B81,$A$2:$A$149,"&lt;"&amp;A81)</f>
        <v>0</v>
      </c>
      <c r="K81" s="8">
        <f>MAX(0,MIN(I81,OrdHours-J81))</f>
        <v>5</v>
      </c>
      <c r="L81" s="8">
        <f>I81-K81</f>
        <v>0</v>
      </c>
      <c r="M81" s="8">
        <f>IF(G81="Sunday",H81,0)</f>
        <v>0</v>
      </c>
      <c r="N81" s="8">
        <f>IF(G81="Public holiday",H81,0)</f>
        <v>0</v>
      </c>
      <c r="O81" s="9">
        <f>INDEX(StaffRates,MATCH(C81,StaffNames,0))</f>
        <v>27.9</v>
      </c>
      <c r="P81" s="9">
        <f>ROUND(O81*(K81*IF(G81="Saturday",SatRate,1)+L81*OTRate+M81*SunRate+N81*PHRate),2)</f>
        <v>139.5</v>
      </c>
      <c r="Q81" s="9">
        <f>ROUND(O81*L81*OTRate,2)</f>
        <v>0</v>
      </c>
      <c r="R81">
        <f>TRIM(IF(E81="","No finish time ","")&amp;IF(H81&gt;MaxShift,"Shift over limit ","")&amp;IF(AND(H81&gt;5,F81&lt;MinBreak),"Short break ",""))</f>
      </c>
    </row>
    <row r="82">
      <c r="A82" s="4" t="n">
        <v>46335</v>
      </c>
      <c r="B82" s="5">
        <f>A82-WEEKDAY(A82,3)</f>
        <v>46335.0</v>
      </c>
      <c r="C82" s="6" t="inlineStr">
        <is>
          <t>Felix Nguyen</t>
        </is>
      </c>
      <c r="D82" s="7" t="n">
        <v>0.4791666666666667</v>
      </c>
      <c r="E82" s="7" t="n">
        <v>0.6875</v>
      </c>
      <c r="F82" s="6" t="n">
        <v>0</v>
      </c>
      <c r="G82" t="str">
        <f>IF(COUNTIF(Holidays,A82)&gt;0,"Public holiday",IF(WEEKDAY(A82,2)=7,"Sunday",IF(WEEKDAY(A82,2)=6,"Saturday","Weekday")))</f>
        <v>Weekday</v>
      </c>
      <c r="H82" s="8">
        <f>IF(OR(D82="",E82=""),0,ROUND(MOD(E82-D82,1)*24-F82/60,2))</f>
        <v>5</v>
      </c>
      <c r="I82" s="8">
        <f>IF(OR(G82="Sunday",G82="Public holiday"),0,H82)</f>
        <v>5</v>
      </c>
      <c r="J82" s="8">
        <f>SUMIFS($I$2:$I$149,$C$2:$C$149,C82,$B$2:$B$149,B82,$A$2:$A$149,"&lt;"&amp;A82)</f>
        <v>0</v>
      </c>
      <c r="K82" s="8">
        <f>MAX(0,MIN(I82,OrdHours-J82))</f>
        <v>5</v>
      </c>
      <c r="L82" s="8">
        <f>I82-K82</f>
        <v>0</v>
      </c>
      <c r="M82" s="8">
        <f>IF(G82="Sunday",H82,0)</f>
        <v>0</v>
      </c>
      <c r="N82" s="8">
        <f>IF(G82="Public holiday",H82,0)</f>
        <v>0</v>
      </c>
      <c r="O82" s="9">
        <f>INDEX(StaffRates,MATCH(C82,StaffNames,0))</f>
        <v>27.9</v>
      </c>
      <c r="P82" s="9">
        <f>ROUND(O82*(K82*IF(G82="Saturday",SatRate,1)+L82*OTRate+M82*SunRate+N82*PHRate),2)</f>
        <v>139.5</v>
      </c>
      <c r="Q82" s="9">
        <f>ROUND(O82*L82*OTRate,2)</f>
        <v>0</v>
      </c>
      <c r="R82">
        <f>TRIM(IF(E82="","No finish time ","")&amp;IF(H82&gt;MaxShift,"Shift over limit ","")&amp;IF(AND(H82&gt;5,F82&lt;MinBreak),"Short break ",""))</f>
      </c>
    </row>
    <row r="83">
      <c r="A83" s="4" t="n">
        <v>46335</v>
      </c>
      <c r="B83" s="5">
        <f>A83-WEEKDAY(A83,3)</f>
        <v>46335.0</v>
      </c>
      <c r="C83" s="6" t="inlineStr">
        <is>
          <t>Gia Marchant</t>
        </is>
      </c>
      <c r="D83" s="7" t="n">
        <v>0.3229166666666667</v>
      </c>
      <c r="E83" s="7" t="n">
        <v>0.6979166666666666</v>
      </c>
      <c r="F83" s="6" t="n">
        <v>30</v>
      </c>
      <c r="G83" t="str">
        <f>IF(COUNTIF(Holidays,A83)&gt;0,"Public holiday",IF(WEEKDAY(A83,2)=7,"Sunday",IF(WEEKDAY(A83,2)=6,"Saturday","Weekday")))</f>
        <v>Weekday</v>
      </c>
      <c r="H83" s="8">
        <f>IF(OR(D83="",E83=""),0,ROUND(MOD(E83-D83,1)*24-F83/60,2))</f>
        <v>8.5</v>
      </c>
      <c r="I83" s="8">
        <f>IF(OR(G83="Sunday",G83="Public holiday"),0,H83)</f>
        <v>8.5</v>
      </c>
      <c r="J83" s="8">
        <f>SUMIFS($I$2:$I$149,$C$2:$C$149,C83,$B$2:$B$149,B83,$A$2:$A$149,"&lt;"&amp;A83)</f>
        <v>0</v>
      </c>
      <c r="K83" s="8">
        <f>MAX(0,MIN(I83,OrdHours-J83))</f>
        <v>8.5</v>
      </c>
      <c r="L83" s="8">
        <f>I83-K83</f>
        <v>0</v>
      </c>
      <c r="M83" s="8">
        <f>IF(G83="Sunday",H83,0)</f>
        <v>0</v>
      </c>
      <c r="N83" s="8">
        <f>IF(G83="Public holiday",H83,0)</f>
        <v>0</v>
      </c>
      <c r="O83" s="9">
        <f>INDEX(StaffRates,MATCH(C83,StaffNames,0))</f>
        <v>29.6</v>
      </c>
      <c r="P83" s="9">
        <f>ROUND(O83*(K83*IF(G83="Saturday",SatRate,1)+L83*OTRate+M83*SunRate+N83*PHRate),2)</f>
        <v>251.6</v>
      </c>
      <c r="Q83" s="9">
        <f>ROUND(O83*L83*OTRate,2)</f>
        <v>0</v>
      </c>
      <c r="R83">
        <f>TRIM(IF(E83="","No finish time ","")&amp;IF(H83&gt;MaxShift,"Shift over limit ","")&amp;IF(AND(H83&gt;5,F83&lt;MinBreak),"Short break ",""))</f>
      </c>
    </row>
    <row r="84">
      <c r="A84" s="4" t="n">
        <v>46335</v>
      </c>
      <c r="B84" s="5">
        <f>A84-WEEKDAY(A84,3)</f>
        <v>46335.0</v>
      </c>
      <c r="C84" s="6" t="inlineStr">
        <is>
          <t>Hugo Brandt</t>
        </is>
      </c>
      <c r="D84" s="7" t="n">
        <v>0.9375</v>
      </c>
      <c r="E84" s="7" t="n">
        <v>0.1875</v>
      </c>
      <c r="F84" s="6" t="n">
        <v>30</v>
      </c>
      <c r="G84" t="str">
        <f>IF(COUNTIF(Holidays,A84)&gt;0,"Public holiday",IF(WEEKDAY(A84,2)=7,"Sunday",IF(WEEKDAY(A84,2)=6,"Saturday","Weekday")))</f>
        <v>Weekday</v>
      </c>
      <c r="H84" s="8">
        <f>IF(OR(D84="",E84=""),0,ROUND(MOD(E84-D84,1)*24-F84/60,2))</f>
        <v>5.5</v>
      </c>
      <c r="I84" s="8">
        <f>IF(OR(G84="Sunday",G84="Public holiday"),0,H84)</f>
        <v>5.5</v>
      </c>
      <c r="J84" s="8">
        <f>SUMIFS($I$2:$I$149,$C$2:$C$149,C84,$B$2:$B$149,B84,$A$2:$A$149,"&lt;"&amp;A84)</f>
        <v>0</v>
      </c>
      <c r="K84" s="8">
        <f>MAX(0,MIN(I84,OrdHours-J84))</f>
        <v>5.5</v>
      </c>
      <c r="L84" s="8">
        <f>I84-K84</f>
        <v>0</v>
      </c>
      <c r="M84" s="8">
        <f>IF(G84="Sunday",H84,0)</f>
        <v>0</v>
      </c>
      <c r="N84" s="8">
        <f>IF(G84="Public holiday",H84,0)</f>
        <v>0</v>
      </c>
      <c r="O84" s="9">
        <f>INDEX(StaffRates,MATCH(C84,StaffNames,0))</f>
        <v>35.4</v>
      </c>
      <c r="P84" s="9">
        <f>ROUND(O84*(K84*IF(G84="Saturday",SatRate,1)+L84*OTRate+M84*SunRate+N84*PHRate),2)</f>
        <v>194.7</v>
      </c>
      <c r="Q84" s="9">
        <f>ROUND(O84*L84*OTRate,2)</f>
        <v>0</v>
      </c>
      <c r="R84">
        <f>TRIM(IF(E84="","No finish time ","")&amp;IF(H84&gt;MaxShift,"Shift over limit ","")&amp;IF(AND(H84&gt;5,F84&lt;MinBreak),"Short break ",""))</f>
      </c>
    </row>
    <row r="85">
      <c r="A85" s="4" t="n">
        <v>46336</v>
      </c>
      <c r="B85" s="5">
        <f>A85-WEEKDAY(A85,3)</f>
        <v>46335.0</v>
      </c>
      <c r="C85" s="6" t="inlineStr">
        <is>
          <t>Ava Kingsley</t>
        </is>
      </c>
      <c r="D85" s="7" t="n">
        <v>0.2604166666666667</v>
      </c>
      <c r="E85" s="7" t="n">
        <v>0.6354166666666666</v>
      </c>
      <c r="F85" s="6" t="n">
        <v>15</v>
      </c>
      <c r="G85" t="str">
        <f>IF(COUNTIF(Holidays,A85)&gt;0,"Public holiday",IF(WEEKDAY(A85,2)=7,"Sunday",IF(WEEKDAY(A85,2)=6,"Saturday","Weekday")))</f>
        <v>Weekday</v>
      </c>
      <c r="H85" s="8">
        <f>IF(OR(D85="",E85=""),0,ROUND(MOD(E85-D85,1)*24-F85/60,2))</f>
        <v>8.75</v>
      </c>
      <c r="I85" s="8">
        <f>IF(OR(G85="Sunday",G85="Public holiday"),0,H85)</f>
        <v>8.75</v>
      </c>
      <c r="J85" s="8">
        <f>SUMIFS($I$2:$I$149,$C$2:$C$149,C85,$B$2:$B$149,B85,$A$2:$A$149,"&lt;"&amp;A85)</f>
        <v>0</v>
      </c>
      <c r="K85" s="8">
        <f>MAX(0,MIN(I85,OrdHours-J85))</f>
        <v>8.75</v>
      </c>
      <c r="L85" s="8">
        <f>I85-K85</f>
        <v>0</v>
      </c>
      <c r="M85" s="8">
        <f>IF(G85="Sunday",H85,0)</f>
        <v>0</v>
      </c>
      <c r="N85" s="8">
        <f>IF(G85="Public holiday",H85,0)</f>
        <v>0</v>
      </c>
      <c r="O85" s="9">
        <f>INDEX(StaffRates,MATCH(C85,StaffNames,0))</f>
        <v>34.8</v>
      </c>
      <c r="P85" s="9">
        <f>ROUND(O85*(K85*IF(G85="Saturday",SatRate,1)+L85*OTRate+M85*SunRate+N85*PHRate),2)</f>
        <v>304.5</v>
      </c>
      <c r="Q85" s="9">
        <f>ROUND(O85*L85*OTRate,2)</f>
        <v>0</v>
      </c>
      <c r="R85" t="str">
        <f>TRIM(IF(E85="","No finish time ","")&amp;IF(H85&gt;MaxShift,"Shift over limit ","")&amp;IF(AND(H85&gt;5,F85&lt;MinBreak),"Short break ",""))</f>
        <v>Short break</v>
      </c>
    </row>
    <row r="86">
      <c r="A86" s="4" t="n">
        <v>46336</v>
      </c>
      <c r="B86" s="5">
        <f>A86-WEEKDAY(A86,3)</f>
        <v>46335.0</v>
      </c>
      <c r="C86" s="6" t="inlineStr">
        <is>
          <t>Ben Okafor</t>
        </is>
      </c>
      <c r="D86" s="7" t="n">
        <v>0.1770833333333333</v>
      </c>
      <c r="E86" s="7" t="n">
        <v>0.53125</v>
      </c>
      <c r="F86" s="6" t="n">
        <v>30</v>
      </c>
      <c r="G86" t="str">
        <f>IF(COUNTIF(Holidays,A86)&gt;0,"Public holiday",IF(WEEKDAY(A86,2)=7,"Sunday",IF(WEEKDAY(A86,2)=6,"Saturday","Weekday")))</f>
        <v>Weekday</v>
      </c>
      <c r="H86" s="8">
        <f>IF(OR(D86="",E86=""),0,ROUND(MOD(E86-D86,1)*24-F86/60,2))</f>
        <v>8</v>
      </c>
      <c r="I86" s="8">
        <f>IF(OR(G86="Sunday",G86="Public holiday"),0,H86)</f>
        <v>8</v>
      </c>
      <c r="J86" s="8">
        <f>SUMIFS($I$2:$I$149,$C$2:$C$149,C86,$B$2:$B$149,B86,$A$2:$A$149,"&lt;"&amp;A86)</f>
        <v>8.5</v>
      </c>
      <c r="K86" s="8">
        <f>MAX(0,MIN(I86,OrdHours-J86))</f>
        <v>8</v>
      </c>
      <c r="L86" s="8">
        <f>I86-K86</f>
        <v>0</v>
      </c>
      <c r="M86" s="8">
        <f>IF(G86="Sunday",H86,0)</f>
        <v>0</v>
      </c>
      <c r="N86" s="8">
        <f>IF(G86="Public holiday",H86,0)</f>
        <v>0</v>
      </c>
      <c r="O86" s="9">
        <f>INDEX(StaffRates,MATCH(C86,StaffNames,0))</f>
        <v>33.1</v>
      </c>
      <c r="P86" s="9">
        <f>ROUND(O86*(K86*IF(G86="Saturday",SatRate,1)+L86*OTRate+M86*SunRate+N86*PHRate),2)</f>
        <v>264.8</v>
      </c>
      <c r="Q86" s="9">
        <f>ROUND(O86*L86*OTRate,2)</f>
        <v>0</v>
      </c>
      <c r="R86">
        <f>TRIM(IF(E86="","No finish time ","")&amp;IF(H86&gt;MaxShift,"Shift over limit ","")&amp;IF(AND(H86&gt;5,F86&lt;MinBreak),"Short break ",""))</f>
      </c>
    </row>
    <row r="87">
      <c r="A87" s="4" t="n">
        <v>46336</v>
      </c>
      <c r="B87" s="5">
        <f>A87-WEEKDAY(A87,3)</f>
        <v>46335.0</v>
      </c>
      <c r="C87" s="6" t="inlineStr">
        <is>
          <t>Cara Delmonte</t>
        </is>
      </c>
      <c r="D87" s="7" t="n">
        <v>0.2083333333333333</v>
      </c>
      <c r="E87" s="7" t="n">
        <v>0.6041666666666666</v>
      </c>
      <c r="F87" s="6" t="n">
        <v>30</v>
      </c>
      <c r="G87" t="str">
        <f>IF(COUNTIF(Holidays,A87)&gt;0,"Public holiday",IF(WEEKDAY(A87,2)=7,"Sunday",IF(WEEKDAY(A87,2)=6,"Saturday","Weekday")))</f>
        <v>Weekday</v>
      </c>
      <c r="H87" s="8">
        <f>IF(OR(D87="",E87=""),0,ROUND(MOD(E87-D87,1)*24-F87/60,2))</f>
        <v>9</v>
      </c>
      <c r="I87" s="8">
        <f>IF(OR(G87="Sunday",G87="Public holiday"),0,H87)</f>
        <v>9</v>
      </c>
      <c r="J87" s="8">
        <f>SUMIFS($I$2:$I$149,$C$2:$C$149,C87,$B$2:$B$149,B87,$A$2:$A$149,"&lt;"&amp;A87)</f>
        <v>8.5</v>
      </c>
      <c r="K87" s="8">
        <f>MAX(0,MIN(I87,OrdHours-J87))</f>
        <v>9</v>
      </c>
      <c r="L87" s="8">
        <f>I87-K87</f>
        <v>0</v>
      </c>
      <c r="M87" s="8">
        <f>IF(G87="Sunday",H87,0)</f>
        <v>0</v>
      </c>
      <c r="N87" s="8">
        <f>IF(G87="Public holiday",H87,0)</f>
        <v>0</v>
      </c>
      <c r="O87" s="9">
        <f>INDEX(StaffRates,MATCH(C87,StaffNames,0))</f>
        <v>36.2</v>
      </c>
      <c r="P87" s="9">
        <f>ROUND(O87*(K87*IF(G87="Saturday",SatRate,1)+L87*OTRate+M87*SunRate+N87*PHRate),2)</f>
        <v>325.8</v>
      </c>
      <c r="Q87" s="9">
        <f>ROUND(O87*L87*OTRate,2)</f>
        <v>0</v>
      </c>
      <c r="R87">
        <f>TRIM(IF(E87="","No finish time ","")&amp;IF(H87&gt;MaxShift,"Shift over limit ","")&amp;IF(AND(H87&gt;5,F87&lt;MinBreak),"Short break ",""))</f>
      </c>
    </row>
    <row r="88">
      <c r="A88" s="4" t="n">
        <v>46336</v>
      </c>
      <c r="B88" s="5">
        <f>A88-WEEKDAY(A88,3)</f>
        <v>46335.0</v>
      </c>
      <c r="C88" s="6" t="inlineStr">
        <is>
          <t>Dylan Fraser</t>
        </is>
      </c>
      <c r="D88" s="7" t="n">
        <v>0.2708333333333333</v>
      </c>
      <c r="E88" s="7" t="n">
        <v>0.6041666666666666</v>
      </c>
      <c r="F88" s="6" t="n">
        <v>30</v>
      </c>
      <c r="G88" t="str">
        <f>IF(COUNTIF(Holidays,A88)&gt;0,"Public holiday",IF(WEEKDAY(A88,2)=7,"Sunday",IF(WEEKDAY(A88,2)=6,"Saturday","Weekday")))</f>
        <v>Weekday</v>
      </c>
      <c r="H88" s="8">
        <f>IF(OR(D88="",E88=""),0,ROUND(MOD(E88-D88,1)*24-F88/60,2))</f>
        <v>7.5</v>
      </c>
      <c r="I88" s="8">
        <f>IF(OR(G88="Sunday",G88="Public holiday"),0,H88)</f>
        <v>7.5</v>
      </c>
      <c r="J88" s="8">
        <f>SUMIFS($I$2:$I$149,$C$2:$C$149,C88,$B$2:$B$149,B88,$A$2:$A$149,"&lt;"&amp;A88)</f>
        <v>0</v>
      </c>
      <c r="K88" s="8">
        <f>MAX(0,MIN(I88,OrdHours-J88))</f>
        <v>7.5</v>
      </c>
      <c r="L88" s="8">
        <f>I88-K88</f>
        <v>0</v>
      </c>
      <c r="M88" s="8">
        <f>IF(G88="Sunday",H88,0)</f>
        <v>0</v>
      </c>
      <c r="N88" s="8">
        <f>IF(G88="Public holiday",H88,0)</f>
        <v>0</v>
      </c>
      <c r="O88" s="9">
        <f>INDEX(StaffRates,MATCH(C88,StaffNames,0))</f>
        <v>29.6</v>
      </c>
      <c r="P88" s="9">
        <f>ROUND(O88*(K88*IF(G88="Saturday",SatRate,1)+L88*OTRate+M88*SunRate+N88*PHRate),2)</f>
        <v>222</v>
      </c>
      <c r="Q88" s="9">
        <f>ROUND(O88*L88*OTRate,2)</f>
        <v>0</v>
      </c>
      <c r="R88">
        <f>TRIM(IF(E88="","No finish time ","")&amp;IF(H88&gt;MaxShift,"Shift over limit ","")&amp;IF(AND(H88&gt;5,F88&lt;MinBreak),"Short break ",""))</f>
      </c>
    </row>
    <row r="89">
      <c r="A89" s="4" t="n">
        <v>46336</v>
      </c>
      <c r="B89" s="5">
        <f>A89-WEEKDAY(A89,3)</f>
        <v>46335.0</v>
      </c>
      <c r="C89" s="6" t="inlineStr">
        <is>
          <t>Esme Rowe</t>
        </is>
      </c>
      <c r="D89" s="7" t="n">
        <v>0.2916666666666667</v>
      </c>
      <c r="E89" s="7" t="n">
        <v>0.5</v>
      </c>
      <c r="F89" s="6" t="n">
        <v>0</v>
      </c>
      <c r="G89" t="str">
        <f>IF(COUNTIF(Holidays,A89)&gt;0,"Public holiday",IF(WEEKDAY(A89,2)=7,"Sunday",IF(WEEKDAY(A89,2)=6,"Saturday","Weekday")))</f>
        <v>Weekday</v>
      </c>
      <c r="H89" s="8">
        <f>IF(OR(D89="",E89=""),0,ROUND(MOD(E89-D89,1)*24-F89/60,2))</f>
        <v>5</v>
      </c>
      <c r="I89" s="8">
        <f>IF(OR(G89="Sunday",G89="Public holiday"),0,H89)</f>
        <v>5</v>
      </c>
      <c r="J89" s="8">
        <f>SUMIFS($I$2:$I$149,$C$2:$C$149,C89,$B$2:$B$149,B89,$A$2:$A$149,"&lt;"&amp;A89)</f>
        <v>5</v>
      </c>
      <c r="K89" s="8">
        <f>MAX(0,MIN(I89,OrdHours-J89))</f>
        <v>5</v>
      </c>
      <c r="L89" s="8">
        <f>I89-K89</f>
        <v>0</v>
      </c>
      <c r="M89" s="8">
        <f>IF(G89="Sunday",H89,0)</f>
        <v>0</v>
      </c>
      <c r="N89" s="8">
        <f>IF(G89="Public holiday",H89,0)</f>
        <v>0</v>
      </c>
      <c r="O89" s="9">
        <f>INDEX(StaffRates,MATCH(C89,StaffNames,0))</f>
        <v>27.9</v>
      </c>
      <c r="P89" s="9">
        <f>ROUND(O89*(K89*IF(G89="Saturday",SatRate,1)+L89*OTRate+M89*SunRate+N89*PHRate),2)</f>
        <v>139.5</v>
      </c>
      <c r="Q89" s="9">
        <f>ROUND(O89*L89*OTRate,2)</f>
        <v>0</v>
      </c>
      <c r="R89">
        <f>TRIM(IF(E89="","No finish time ","")&amp;IF(H89&gt;MaxShift,"Shift over limit ","")&amp;IF(AND(H89&gt;5,F89&lt;MinBreak),"Short break ",""))</f>
      </c>
    </row>
    <row r="90">
      <c r="A90" s="4" t="n">
        <v>46336</v>
      </c>
      <c r="B90" s="5">
        <f>A90-WEEKDAY(A90,3)</f>
        <v>46335.0</v>
      </c>
      <c r="C90" s="6" t="inlineStr">
        <is>
          <t>Felix Nguyen</t>
        </is>
      </c>
      <c r="D90" s="7" t="n">
        <v>0.4791666666666667</v>
      </c>
      <c r="E90" s="7" t="n">
        <v>0.6875</v>
      </c>
      <c r="F90" s="6" t="n">
        <v>0</v>
      </c>
      <c r="G90" t="str">
        <f>IF(COUNTIF(Holidays,A90)&gt;0,"Public holiday",IF(WEEKDAY(A90,2)=7,"Sunday",IF(WEEKDAY(A90,2)=6,"Saturday","Weekday")))</f>
        <v>Weekday</v>
      </c>
      <c r="H90" s="8">
        <f>IF(OR(D90="",E90=""),0,ROUND(MOD(E90-D90,1)*24-F90/60,2))</f>
        <v>5</v>
      </c>
      <c r="I90" s="8">
        <f>IF(OR(G90="Sunday",G90="Public holiday"),0,H90)</f>
        <v>5</v>
      </c>
      <c r="J90" s="8">
        <f>SUMIFS($I$2:$I$149,$C$2:$C$149,C90,$B$2:$B$149,B90,$A$2:$A$149,"&lt;"&amp;A90)</f>
        <v>5</v>
      </c>
      <c r="K90" s="8">
        <f>MAX(0,MIN(I90,OrdHours-J90))</f>
        <v>5</v>
      </c>
      <c r="L90" s="8">
        <f>I90-K90</f>
        <v>0</v>
      </c>
      <c r="M90" s="8">
        <f>IF(G90="Sunday",H90,0)</f>
        <v>0</v>
      </c>
      <c r="N90" s="8">
        <f>IF(G90="Public holiday",H90,0)</f>
        <v>0</v>
      </c>
      <c r="O90" s="9">
        <f>INDEX(StaffRates,MATCH(C90,StaffNames,0))</f>
        <v>27.9</v>
      </c>
      <c r="P90" s="9">
        <f>ROUND(O90*(K90*IF(G90="Saturday",SatRate,1)+L90*OTRate+M90*SunRate+N90*PHRate),2)</f>
        <v>139.5</v>
      </c>
      <c r="Q90" s="9">
        <f>ROUND(O90*L90*OTRate,2)</f>
        <v>0</v>
      </c>
      <c r="R90">
        <f>TRIM(IF(E90="","No finish time ","")&amp;IF(H90&gt;MaxShift,"Shift over limit ","")&amp;IF(AND(H90&gt;5,F90&lt;MinBreak),"Short break ",""))</f>
      </c>
    </row>
    <row r="91">
      <c r="A91" s="4" t="n">
        <v>46336</v>
      </c>
      <c r="B91" s="5">
        <f>A91-WEEKDAY(A91,3)</f>
        <v>46335.0</v>
      </c>
      <c r="C91" s="6" t="inlineStr">
        <is>
          <t>Hugo Brandt</t>
        </is>
      </c>
      <c r="D91" s="7" t="n">
        <v>0.9166666666666666</v>
      </c>
      <c r="E91" s="7" t="n">
        <v>0.2291666666666667</v>
      </c>
      <c r="F91" s="6" t="n">
        <v>30</v>
      </c>
      <c r="G91" t="str">
        <f>IF(COUNTIF(Holidays,A91)&gt;0,"Public holiday",IF(WEEKDAY(A91,2)=7,"Sunday",IF(WEEKDAY(A91,2)=6,"Saturday","Weekday")))</f>
        <v>Weekday</v>
      </c>
      <c r="H91" s="8">
        <f>IF(OR(D91="",E91=""),0,ROUND(MOD(E91-D91,1)*24-F91/60,2))</f>
        <v>7</v>
      </c>
      <c r="I91" s="8">
        <f>IF(OR(G91="Sunday",G91="Public holiday"),0,H91)</f>
        <v>7</v>
      </c>
      <c r="J91" s="8">
        <f>SUMIFS($I$2:$I$149,$C$2:$C$149,C91,$B$2:$B$149,B91,$A$2:$A$149,"&lt;"&amp;A91)</f>
        <v>5.5</v>
      </c>
      <c r="K91" s="8">
        <f>MAX(0,MIN(I91,OrdHours-J91))</f>
        <v>7</v>
      </c>
      <c r="L91" s="8">
        <f>I91-K91</f>
        <v>0</v>
      </c>
      <c r="M91" s="8">
        <f>IF(G91="Sunday",H91,0)</f>
        <v>0</v>
      </c>
      <c r="N91" s="8">
        <f>IF(G91="Public holiday",H91,0)</f>
        <v>0</v>
      </c>
      <c r="O91" s="9">
        <f>INDEX(StaffRates,MATCH(C91,StaffNames,0))</f>
        <v>35.4</v>
      </c>
      <c r="P91" s="9">
        <f>ROUND(O91*(K91*IF(G91="Saturday",SatRate,1)+L91*OTRate+M91*SunRate+N91*PHRate),2)</f>
        <v>247.8</v>
      </c>
      <c r="Q91" s="9">
        <f>ROUND(O91*L91*OTRate,2)</f>
        <v>0</v>
      </c>
      <c r="R91">
        <f>TRIM(IF(E91="","No finish time ","")&amp;IF(H91&gt;MaxShift,"Shift over limit ","")&amp;IF(AND(H91&gt;5,F91&lt;MinBreak),"Short break ",""))</f>
      </c>
    </row>
    <row r="92">
      <c r="A92" s="4" t="n">
        <v>46337</v>
      </c>
      <c r="B92" s="5">
        <f>A92-WEEKDAY(A92,3)</f>
        <v>46335.0</v>
      </c>
      <c r="C92" s="6" t="inlineStr">
        <is>
          <t>Ben Okafor</t>
        </is>
      </c>
      <c r="D92" s="7" t="n">
        <v>0.1666666666666667</v>
      </c>
      <c r="E92" s="7" t="n">
        <v>0.5833333333333334</v>
      </c>
      <c r="F92" s="6" t="n">
        <v>30</v>
      </c>
      <c r="G92" t="str">
        <f>IF(COUNTIF(Holidays,A92)&gt;0,"Public holiday",IF(WEEKDAY(A92,2)=7,"Sunday",IF(WEEKDAY(A92,2)=6,"Saturday","Weekday")))</f>
        <v>Weekday</v>
      </c>
      <c r="H92" s="8">
        <f>IF(OR(D92="",E92=""),0,ROUND(MOD(E92-D92,1)*24-F92/60,2))</f>
        <v>9.5</v>
      </c>
      <c r="I92" s="8">
        <f>IF(OR(G92="Sunday",G92="Public holiday"),0,H92)</f>
        <v>9.5</v>
      </c>
      <c r="J92" s="8">
        <f>SUMIFS($I$2:$I$149,$C$2:$C$149,C92,$B$2:$B$149,B92,$A$2:$A$149,"&lt;"&amp;A92)</f>
        <v>16.5</v>
      </c>
      <c r="K92" s="8">
        <f>MAX(0,MIN(I92,OrdHours-J92))</f>
        <v>9.5</v>
      </c>
      <c r="L92" s="8">
        <f>I92-K92</f>
        <v>0</v>
      </c>
      <c r="M92" s="8">
        <f>IF(G92="Sunday",H92,0)</f>
        <v>0</v>
      </c>
      <c r="N92" s="8">
        <f>IF(G92="Public holiday",H92,0)</f>
        <v>0</v>
      </c>
      <c r="O92" s="9">
        <f>INDEX(StaffRates,MATCH(C92,StaffNames,0))</f>
        <v>33.1</v>
      </c>
      <c r="P92" s="9">
        <f>ROUND(O92*(K92*IF(G92="Saturday",SatRate,1)+L92*OTRate+M92*SunRate+N92*PHRate),2)</f>
        <v>314.45</v>
      </c>
      <c r="Q92" s="9">
        <f>ROUND(O92*L92*OTRate,2)</f>
        <v>0</v>
      </c>
      <c r="R92">
        <f>TRIM(IF(E92="","No finish time ","")&amp;IF(H92&gt;MaxShift,"Shift over limit ","")&amp;IF(AND(H92&gt;5,F92&lt;MinBreak),"Short break ",""))</f>
      </c>
    </row>
    <row r="93">
      <c r="A93" s="4" t="n">
        <v>46337</v>
      </c>
      <c r="B93" s="5">
        <f>A93-WEEKDAY(A93,3)</f>
        <v>46335.0</v>
      </c>
      <c r="C93" s="6" t="inlineStr">
        <is>
          <t>Cara Delmonte</t>
        </is>
      </c>
      <c r="D93" s="7" t="n">
        <v>0.2083333333333333</v>
      </c>
      <c r="E93" s="7" t="n">
        <v>0.5625</v>
      </c>
      <c r="F93" s="6" t="n">
        <v>30</v>
      </c>
      <c r="G93" t="str">
        <f>IF(COUNTIF(Holidays,A93)&gt;0,"Public holiday",IF(WEEKDAY(A93,2)=7,"Sunday",IF(WEEKDAY(A93,2)=6,"Saturday","Weekday")))</f>
        <v>Weekday</v>
      </c>
      <c r="H93" s="8">
        <f>IF(OR(D93="",E93=""),0,ROUND(MOD(E93-D93,1)*24-F93/60,2))</f>
        <v>8</v>
      </c>
      <c r="I93" s="8">
        <f>IF(OR(G93="Sunday",G93="Public holiday"),0,H93)</f>
        <v>8</v>
      </c>
      <c r="J93" s="8">
        <f>SUMIFS($I$2:$I$149,$C$2:$C$149,C93,$B$2:$B$149,B93,$A$2:$A$149,"&lt;"&amp;A93)</f>
        <v>17.5</v>
      </c>
      <c r="K93" s="8">
        <f>MAX(0,MIN(I93,OrdHours-J93))</f>
        <v>8</v>
      </c>
      <c r="L93" s="8">
        <f>I93-K93</f>
        <v>0</v>
      </c>
      <c r="M93" s="8">
        <f>IF(G93="Sunday",H93,0)</f>
        <v>0</v>
      </c>
      <c r="N93" s="8">
        <f>IF(G93="Public holiday",H93,0)</f>
        <v>0</v>
      </c>
      <c r="O93" s="9">
        <f>INDEX(StaffRates,MATCH(C93,StaffNames,0))</f>
        <v>36.2</v>
      </c>
      <c r="P93" s="9">
        <f>ROUND(O93*(K93*IF(G93="Saturday",SatRate,1)+L93*OTRate+M93*SunRate+N93*PHRate),2)</f>
        <v>289.6</v>
      </c>
      <c r="Q93" s="9">
        <f>ROUND(O93*L93*OTRate,2)</f>
        <v>0</v>
      </c>
      <c r="R93">
        <f>TRIM(IF(E93="","No finish time ","")&amp;IF(H93&gt;MaxShift,"Shift over limit ","")&amp;IF(AND(H93&gt;5,F93&lt;MinBreak),"Short break ",""))</f>
      </c>
    </row>
    <row r="94">
      <c r="A94" s="4" t="n">
        <v>46337</v>
      </c>
      <c r="B94" s="5">
        <f>A94-WEEKDAY(A94,3)</f>
        <v>46335.0</v>
      </c>
      <c r="C94" s="6" t="inlineStr">
        <is>
          <t>Esme Rowe</t>
        </is>
      </c>
      <c r="D94" s="7" t="n">
        <v>0.2708333333333333</v>
      </c>
      <c r="E94" s="7" t="n">
        <v>0.4375</v>
      </c>
      <c r="F94" s="6" t="n">
        <v>0</v>
      </c>
      <c r="G94" t="str">
        <f>IF(COUNTIF(Holidays,A94)&gt;0,"Public holiday",IF(WEEKDAY(A94,2)=7,"Sunday",IF(WEEKDAY(A94,2)=6,"Saturday","Weekday")))</f>
        <v>Weekday</v>
      </c>
      <c r="H94" s="8">
        <f>IF(OR(D94="",E94=""),0,ROUND(MOD(E94-D94,1)*24-F94/60,2))</f>
        <v>4</v>
      </c>
      <c r="I94" s="8">
        <f>IF(OR(G94="Sunday",G94="Public holiday"),0,H94)</f>
        <v>4</v>
      </c>
      <c r="J94" s="8">
        <f>SUMIFS($I$2:$I$149,$C$2:$C$149,C94,$B$2:$B$149,B94,$A$2:$A$149,"&lt;"&amp;A94)</f>
        <v>10</v>
      </c>
      <c r="K94" s="8">
        <f>MAX(0,MIN(I94,OrdHours-J94))</f>
        <v>4</v>
      </c>
      <c r="L94" s="8">
        <f>I94-K94</f>
        <v>0</v>
      </c>
      <c r="M94" s="8">
        <f>IF(G94="Sunday",H94,0)</f>
        <v>0</v>
      </c>
      <c r="N94" s="8">
        <f>IF(G94="Public holiday",H94,0)</f>
        <v>0</v>
      </c>
      <c r="O94" s="9">
        <f>INDEX(StaffRates,MATCH(C94,StaffNames,0))</f>
        <v>27.9</v>
      </c>
      <c r="P94" s="9">
        <f>ROUND(O94*(K94*IF(G94="Saturday",SatRate,1)+L94*OTRate+M94*SunRate+N94*PHRate),2)</f>
        <v>111.6</v>
      </c>
      <c r="Q94" s="9">
        <f>ROUND(O94*L94*OTRate,2)</f>
        <v>0</v>
      </c>
      <c r="R94">
        <f>TRIM(IF(E94="","No finish time ","")&amp;IF(H94&gt;MaxShift,"Shift over limit ","")&amp;IF(AND(H94&gt;5,F94&lt;MinBreak),"Short break ",""))</f>
      </c>
    </row>
    <row r="95">
      <c r="A95" s="4" t="n">
        <v>46337</v>
      </c>
      <c r="B95" s="5">
        <f>A95-WEEKDAY(A95,3)</f>
        <v>46335.0</v>
      </c>
      <c r="C95" s="6" t="inlineStr">
        <is>
          <t>Gia Marchant</t>
        </is>
      </c>
      <c r="D95" s="7" t="n">
        <v>0.3125</v>
      </c>
      <c r="E95" s="7" t="n">
        <v>0.6875</v>
      </c>
      <c r="F95" s="6" t="n">
        <v>30</v>
      </c>
      <c r="G95" t="str">
        <f>IF(COUNTIF(Holidays,A95)&gt;0,"Public holiday",IF(WEEKDAY(A95,2)=7,"Sunday",IF(WEEKDAY(A95,2)=6,"Saturday","Weekday")))</f>
        <v>Weekday</v>
      </c>
      <c r="H95" s="8">
        <f>IF(OR(D95="",E95=""),0,ROUND(MOD(E95-D95,1)*24-F95/60,2))</f>
        <v>8.5</v>
      </c>
      <c r="I95" s="8">
        <f>IF(OR(G95="Sunday",G95="Public holiday"),0,H95)</f>
        <v>8.5</v>
      </c>
      <c r="J95" s="8">
        <f>SUMIFS($I$2:$I$149,$C$2:$C$149,C95,$B$2:$B$149,B95,$A$2:$A$149,"&lt;"&amp;A95)</f>
        <v>8.5</v>
      </c>
      <c r="K95" s="8">
        <f>MAX(0,MIN(I95,OrdHours-J95))</f>
        <v>8.5</v>
      </c>
      <c r="L95" s="8">
        <f>I95-K95</f>
        <v>0</v>
      </c>
      <c r="M95" s="8">
        <f>IF(G95="Sunday",H95,0)</f>
        <v>0</v>
      </c>
      <c r="N95" s="8">
        <f>IF(G95="Public holiday",H95,0)</f>
        <v>0</v>
      </c>
      <c r="O95" s="9">
        <f>INDEX(StaffRates,MATCH(C95,StaffNames,0))</f>
        <v>29.6</v>
      </c>
      <c r="P95" s="9">
        <f>ROUND(O95*(K95*IF(G95="Saturday",SatRate,1)+L95*OTRate+M95*SunRate+N95*PHRate),2)</f>
        <v>251.6</v>
      </c>
      <c r="Q95" s="9">
        <f>ROUND(O95*L95*OTRate,2)</f>
        <v>0</v>
      </c>
      <c r="R95">
        <f>TRIM(IF(E95="","No finish time ","")&amp;IF(H95&gt;MaxShift,"Shift over limit ","")&amp;IF(AND(H95&gt;5,F95&lt;MinBreak),"Short break ",""))</f>
      </c>
    </row>
    <row r="96">
      <c r="A96" s="4" t="n">
        <v>46337</v>
      </c>
      <c r="B96" s="5">
        <f>A96-WEEKDAY(A96,3)</f>
        <v>46335.0</v>
      </c>
      <c r="C96" s="6" t="inlineStr">
        <is>
          <t>Hugo Brandt</t>
        </is>
      </c>
      <c r="D96" s="7" t="n">
        <v>0.9166666666666666</v>
      </c>
      <c r="E96" s="7" t="n">
        <v>0.2916666666666667</v>
      </c>
      <c r="F96" s="6" t="n">
        <v>30</v>
      </c>
      <c r="G96" t="str">
        <f>IF(COUNTIF(Holidays,A96)&gt;0,"Public holiday",IF(WEEKDAY(A96,2)=7,"Sunday",IF(WEEKDAY(A96,2)=6,"Saturday","Weekday")))</f>
        <v>Weekday</v>
      </c>
      <c r="H96" s="8">
        <f>IF(OR(D96="",E96=""),0,ROUND(MOD(E96-D96,1)*24-F96/60,2))</f>
        <v>8.5</v>
      </c>
      <c r="I96" s="8">
        <f>IF(OR(G96="Sunday",G96="Public holiday"),0,H96)</f>
        <v>8.5</v>
      </c>
      <c r="J96" s="8">
        <f>SUMIFS($I$2:$I$149,$C$2:$C$149,C96,$B$2:$B$149,B96,$A$2:$A$149,"&lt;"&amp;A96)</f>
        <v>12.5</v>
      </c>
      <c r="K96" s="8">
        <f>MAX(0,MIN(I96,OrdHours-J96))</f>
        <v>8.5</v>
      </c>
      <c r="L96" s="8">
        <f>I96-K96</f>
        <v>0</v>
      </c>
      <c r="M96" s="8">
        <f>IF(G96="Sunday",H96,0)</f>
        <v>0</v>
      </c>
      <c r="N96" s="8">
        <f>IF(G96="Public holiday",H96,0)</f>
        <v>0</v>
      </c>
      <c r="O96" s="9">
        <f>INDEX(StaffRates,MATCH(C96,StaffNames,0))</f>
        <v>35.4</v>
      </c>
      <c r="P96" s="9">
        <f>ROUND(O96*(K96*IF(G96="Saturday",SatRate,1)+L96*OTRate+M96*SunRate+N96*PHRate),2)</f>
        <v>300.9</v>
      </c>
      <c r="Q96" s="9">
        <f>ROUND(O96*L96*OTRate,2)</f>
        <v>0</v>
      </c>
      <c r="R96">
        <f>TRIM(IF(E96="","No finish time ","")&amp;IF(H96&gt;MaxShift,"Shift over limit ","")&amp;IF(AND(H96&gt;5,F96&lt;MinBreak),"Short break ",""))</f>
      </c>
    </row>
    <row r="97">
      <c r="A97" s="4" t="n">
        <v>46338</v>
      </c>
      <c r="B97" s="5">
        <f>A97-WEEKDAY(A97,3)</f>
        <v>46335.0</v>
      </c>
      <c r="C97" s="6" t="inlineStr">
        <is>
          <t>Ben Okafor</t>
        </is>
      </c>
      <c r="D97" s="7" t="n">
        <v>0.1458333333333333</v>
      </c>
      <c r="E97" s="7" t="n">
        <v>0.5208333333333334</v>
      </c>
      <c r="F97" s="6" t="n">
        <v>30</v>
      </c>
      <c r="G97" t="str">
        <f>IF(COUNTIF(Holidays,A97)&gt;0,"Public holiday",IF(WEEKDAY(A97,2)=7,"Sunday",IF(WEEKDAY(A97,2)=6,"Saturday","Weekday")))</f>
        <v>Weekday</v>
      </c>
      <c r="H97" s="8">
        <f>IF(OR(D97="",E97=""),0,ROUND(MOD(E97-D97,1)*24-F97/60,2))</f>
        <v>8.5</v>
      </c>
      <c r="I97" s="8">
        <f>IF(OR(G97="Sunday",G97="Public holiday"),0,H97)</f>
        <v>8.5</v>
      </c>
      <c r="J97" s="8">
        <f>SUMIFS($I$2:$I$149,$C$2:$C$149,C97,$B$2:$B$149,B97,$A$2:$A$149,"&lt;"&amp;A97)</f>
        <v>26</v>
      </c>
      <c r="K97" s="8">
        <f>MAX(0,MIN(I97,OrdHours-J97))</f>
        <v>8.5</v>
      </c>
      <c r="L97" s="8">
        <f>I97-K97</f>
        <v>0</v>
      </c>
      <c r="M97" s="8">
        <f>IF(G97="Sunday",H97,0)</f>
        <v>0</v>
      </c>
      <c r="N97" s="8">
        <f>IF(G97="Public holiday",H97,0)</f>
        <v>0</v>
      </c>
      <c r="O97" s="9">
        <f>INDEX(StaffRates,MATCH(C97,StaffNames,0))</f>
        <v>33.1</v>
      </c>
      <c r="P97" s="9">
        <f>ROUND(O97*(K97*IF(G97="Saturday",SatRate,1)+L97*OTRate+M97*SunRate+N97*PHRate),2)</f>
        <v>281.35</v>
      </c>
      <c r="Q97" s="9">
        <f>ROUND(O97*L97*OTRate,2)</f>
        <v>0</v>
      </c>
      <c r="R97">
        <f>TRIM(IF(E97="","No finish time ","")&amp;IF(H97&gt;MaxShift,"Shift over limit ","")&amp;IF(AND(H97&gt;5,F97&lt;MinBreak),"Short break ",""))</f>
      </c>
    </row>
    <row r="98">
      <c r="A98" s="4" t="n">
        <v>46338</v>
      </c>
      <c r="B98" s="5">
        <f>A98-WEEKDAY(A98,3)</f>
        <v>46335.0</v>
      </c>
      <c r="C98" s="6" t="inlineStr">
        <is>
          <t>Cara Delmonte</t>
        </is>
      </c>
      <c r="D98" s="7" t="n">
        <v>0.2083333333333333</v>
      </c>
      <c r="E98" s="7" t="n">
        <v>0.625</v>
      </c>
      <c r="F98" s="6" t="n">
        <v>30</v>
      </c>
      <c r="G98" t="str">
        <f>IF(COUNTIF(Holidays,A98)&gt;0,"Public holiday",IF(WEEKDAY(A98,2)=7,"Sunday",IF(WEEKDAY(A98,2)=6,"Saturday","Weekday")))</f>
        <v>Weekday</v>
      </c>
      <c r="H98" s="8">
        <f>IF(OR(D98="",E98=""),0,ROUND(MOD(E98-D98,1)*24-F98/60,2))</f>
        <v>9.5</v>
      </c>
      <c r="I98" s="8">
        <f>IF(OR(G98="Sunday",G98="Public holiday"),0,H98)</f>
        <v>9.5</v>
      </c>
      <c r="J98" s="8">
        <f>SUMIFS($I$2:$I$149,$C$2:$C$149,C98,$B$2:$B$149,B98,$A$2:$A$149,"&lt;"&amp;A98)</f>
        <v>25.5</v>
      </c>
      <c r="K98" s="8">
        <f>MAX(0,MIN(I98,OrdHours-J98))</f>
        <v>9.5</v>
      </c>
      <c r="L98" s="8">
        <f>I98-K98</f>
        <v>0</v>
      </c>
      <c r="M98" s="8">
        <f>IF(G98="Sunday",H98,0)</f>
        <v>0</v>
      </c>
      <c r="N98" s="8">
        <f>IF(G98="Public holiday",H98,0)</f>
        <v>0</v>
      </c>
      <c r="O98" s="9">
        <f>INDEX(StaffRates,MATCH(C98,StaffNames,0))</f>
        <v>36.2</v>
      </c>
      <c r="P98" s="9">
        <f>ROUND(O98*(K98*IF(G98="Saturday",SatRate,1)+L98*OTRate+M98*SunRate+N98*PHRate),2)</f>
        <v>343.9</v>
      </c>
      <c r="Q98" s="9">
        <f>ROUND(O98*L98*OTRate,2)</f>
        <v>0</v>
      </c>
      <c r="R98">
        <f>TRIM(IF(E98="","No finish time ","")&amp;IF(H98&gt;MaxShift,"Shift over limit ","")&amp;IF(AND(H98&gt;5,F98&lt;MinBreak),"Short break ",""))</f>
      </c>
    </row>
    <row r="99">
      <c r="A99" s="4" t="n">
        <v>46338</v>
      </c>
      <c r="B99" s="5">
        <f>A99-WEEKDAY(A99,3)</f>
        <v>46335.0</v>
      </c>
      <c r="C99" s="6" t="inlineStr">
        <is>
          <t>Dylan Fraser</t>
        </is>
      </c>
      <c r="D99" s="7" t="n">
        <v>0.28125</v>
      </c>
      <c r="E99" s="7" t="n">
        <v>0.6354166666666666</v>
      </c>
      <c r="F99" s="6" t="n">
        <v>30</v>
      </c>
      <c r="G99" t="str">
        <f>IF(COUNTIF(Holidays,A99)&gt;0,"Public holiday",IF(WEEKDAY(A99,2)=7,"Sunday",IF(WEEKDAY(A99,2)=6,"Saturday","Weekday")))</f>
        <v>Weekday</v>
      </c>
      <c r="H99" s="8">
        <f>IF(OR(D99="",E99=""),0,ROUND(MOD(E99-D99,1)*24-F99/60,2))</f>
        <v>8</v>
      </c>
      <c r="I99" s="8">
        <f>IF(OR(G99="Sunday",G99="Public holiday"),0,H99)</f>
        <v>8</v>
      </c>
      <c r="J99" s="8">
        <f>SUMIFS($I$2:$I$149,$C$2:$C$149,C99,$B$2:$B$149,B99,$A$2:$A$149,"&lt;"&amp;A99)</f>
        <v>7.5</v>
      </c>
      <c r="K99" s="8">
        <f>MAX(0,MIN(I99,OrdHours-J99))</f>
        <v>8</v>
      </c>
      <c r="L99" s="8">
        <f>I99-K99</f>
        <v>0</v>
      </c>
      <c r="M99" s="8">
        <f>IF(G99="Sunday",H99,0)</f>
        <v>0</v>
      </c>
      <c r="N99" s="8">
        <f>IF(G99="Public holiday",H99,0)</f>
        <v>0</v>
      </c>
      <c r="O99" s="9">
        <f>INDEX(StaffRates,MATCH(C99,StaffNames,0))</f>
        <v>29.6</v>
      </c>
      <c r="P99" s="9">
        <f>ROUND(O99*(K99*IF(G99="Saturday",SatRate,1)+L99*OTRate+M99*SunRate+N99*PHRate),2)</f>
        <v>236.8</v>
      </c>
      <c r="Q99" s="9">
        <f>ROUND(O99*L99*OTRate,2)</f>
        <v>0</v>
      </c>
      <c r="R99">
        <f>TRIM(IF(E99="","No finish time ","")&amp;IF(H99&gt;MaxShift,"Shift over limit ","")&amp;IF(AND(H99&gt;5,F99&lt;MinBreak),"Short break ",""))</f>
      </c>
    </row>
    <row r="100">
      <c r="A100" s="4" t="n">
        <v>46338</v>
      </c>
      <c r="B100" s="5">
        <f>A100-WEEKDAY(A100,3)</f>
        <v>46335.0</v>
      </c>
      <c r="C100" s="6" t="inlineStr">
        <is>
          <t>Esme Rowe</t>
        </is>
      </c>
      <c r="D100" s="7" t="n">
        <v>0.3125</v>
      </c>
      <c r="E100" s="7" t="n">
        <v>0.5625</v>
      </c>
      <c r="F100" s="6" t="n">
        <v>30</v>
      </c>
      <c r="G100" t="str">
        <f>IF(COUNTIF(Holidays,A100)&gt;0,"Public holiday",IF(WEEKDAY(A100,2)=7,"Sunday",IF(WEEKDAY(A100,2)=6,"Saturday","Weekday")))</f>
        <v>Weekday</v>
      </c>
      <c r="H100" s="8">
        <f>IF(OR(D100="",E100=""),0,ROUND(MOD(E100-D100,1)*24-F100/60,2))</f>
        <v>5.5</v>
      </c>
      <c r="I100" s="8">
        <f>IF(OR(G100="Sunday",G100="Public holiday"),0,H100)</f>
        <v>5.5</v>
      </c>
      <c r="J100" s="8">
        <f>SUMIFS($I$2:$I$149,$C$2:$C$149,C100,$B$2:$B$149,B100,$A$2:$A$149,"&lt;"&amp;A100)</f>
        <v>14</v>
      </c>
      <c r="K100" s="8">
        <f>MAX(0,MIN(I100,OrdHours-J100))</f>
        <v>5.5</v>
      </c>
      <c r="L100" s="8">
        <f>I100-K100</f>
        <v>0</v>
      </c>
      <c r="M100" s="8">
        <f>IF(G100="Sunday",H100,0)</f>
        <v>0</v>
      </c>
      <c r="N100" s="8">
        <f>IF(G100="Public holiday",H100,0)</f>
        <v>0</v>
      </c>
      <c r="O100" s="9">
        <f>INDEX(StaffRates,MATCH(C100,StaffNames,0))</f>
        <v>27.9</v>
      </c>
      <c r="P100" s="9">
        <f>ROUND(O100*(K100*IF(G100="Saturday",SatRate,1)+L100*OTRate+M100*SunRate+N100*PHRate),2)</f>
        <v>153.45</v>
      </c>
      <c r="Q100" s="9">
        <f>ROUND(O100*L100*OTRate,2)</f>
        <v>0</v>
      </c>
      <c r="R100">
        <f>TRIM(IF(E100="","No finish time ","")&amp;IF(H100&gt;MaxShift,"Shift over limit ","")&amp;IF(AND(H100&gt;5,F100&lt;MinBreak),"Short break ",""))</f>
      </c>
    </row>
    <row r="101">
      <c r="A101" s="4" t="n">
        <v>46338</v>
      </c>
      <c r="B101" s="5">
        <f>A101-WEEKDAY(A101,3)</f>
        <v>46335.0</v>
      </c>
      <c r="C101" s="6" t="inlineStr">
        <is>
          <t>Felix Nguyen</t>
        </is>
      </c>
      <c r="D101" s="7" t="n">
        <v>0.4791666666666667</v>
      </c>
      <c r="E101" s="7" t="n">
        <v>0.6875</v>
      </c>
      <c r="F101" s="6" t="n">
        <v>0</v>
      </c>
      <c r="G101" t="str">
        <f>IF(COUNTIF(Holidays,A101)&gt;0,"Public holiday",IF(WEEKDAY(A101,2)=7,"Sunday",IF(WEEKDAY(A101,2)=6,"Saturday","Weekday")))</f>
        <v>Weekday</v>
      </c>
      <c r="H101" s="8">
        <f>IF(OR(D101="",E101=""),0,ROUND(MOD(E101-D101,1)*24-F101/60,2))</f>
        <v>5</v>
      </c>
      <c r="I101" s="8">
        <f>IF(OR(G101="Sunday",G101="Public holiday"),0,H101)</f>
        <v>5</v>
      </c>
      <c r="J101" s="8">
        <f>SUMIFS($I$2:$I$149,$C$2:$C$149,C101,$B$2:$B$149,B101,$A$2:$A$149,"&lt;"&amp;A101)</f>
        <v>10</v>
      </c>
      <c r="K101" s="8">
        <f>MAX(0,MIN(I101,OrdHours-J101))</f>
        <v>5</v>
      </c>
      <c r="L101" s="8">
        <f>I101-K101</f>
        <v>0</v>
      </c>
      <c r="M101" s="8">
        <f>IF(G101="Sunday",H101,0)</f>
        <v>0</v>
      </c>
      <c r="N101" s="8">
        <f>IF(G101="Public holiday",H101,0)</f>
        <v>0</v>
      </c>
      <c r="O101" s="9">
        <f>INDEX(StaffRates,MATCH(C101,StaffNames,0))</f>
        <v>27.9</v>
      </c>
      <c r="P101" s="9">
        <f>ROUND(O101*(K101*IF(G101="Saturday",SatRate,1)+L101*OTRate+M101*SunRate+N101*PHRate),2)</f>
        <v>139.5</v>
      </c>
      <c r="Q101" s="9">
        <f>ROUND(O101*L101*OTRate,2)</f>
        <v>0</v>
      </c>
      <c r="R101">
        <f>TRIM(IF(E101="","No finish time ","")&amp;IF(H101&gt;MaxShift,"Shift over limit ","")&amp;IF(AND(H101&gt;5,F101&lt;MinBreak),"Short break ",""))</f>
      </c>
    </row>
    <row r="102">
      <c r="A102" s="4" t="n">
        <v>46338</v>
      </c>
      <c r="B102" s="5">
        <f>A102-WEEKDAY(A102,3)</f>
        <v>46335.0</v>
      </c>
      <c r="C102" s="6" t="inlineStr">
        <is>
          <t>Gia Marchant</t>
        </is>
      </c>
      <c r="D102" s="7" t="n">
        <v>0.3125</v>
      </c>
      <c r="E102" s="7" t="n">
        <v>0.6458333333333334</v>
      </c>
      <c r="F102" s="6" t="n">
        <v>15</v>
      </c>
      <c r="G102" t="str">
        <f>IF(COUNTIF(Holidays,A102)&gt;0,"Public holiday",IF(WEEKDAY(A102,2)=7,"Sunday",IF(WEEKDAY(A102,2)=6,"Saturday","Weekday")))</f>
        <v>Weekday</v>
      </c>
      <c r="H102" s="8">
        <f>IF(OR(D102="",E102=""),0,ROUND(MOD(E102-D102,1)*24-F102/60,2))</f>
        <v>7.75</v>
      </c>
      <c r="I102" s="8">
        <f>IF(OR(G102="Sunday",G102="Public holiday"),0,H102)</f>
        <v>7.75</v>
      </c>
      <c r="J102" s="8">
        <f>SUMIFS($I$2:$I$149,$C$2:$C$149,C102,$B$2:$B$149,B102,$A$2:$A$149,"&lt;"&amp;A102)</f>
        <v>17</v>
      </c>
      <c r="K102" s="8">
        <f>MAX(0,MIN(I102,OrdHours-J102))</f>
        <v>7.75</v>
      </c>
      <c r="L102" s="8">
        <f>I102-K102</f>
        <v>0</v>
      </c>
      <c r="M102" s="8">
        <f>IF(G102="Sunday",H102,0)</f>
        <v>0</v>
      </c>
      <c r="N102" s="8">
        <f>IF(G102="Public holiday",H102,0)</f>
        <v>0</v>
      </c>
      <c r="O102" s="9">
        <f>INDEX(StaffRates,MATCH(C102,StaffNames,0))</f>
        <v>29.6</v>
      </c>
      <c r="P102" s="9">
        <f>ROUND(O102*(K102*IF(G102="Saturday",SatRate,1)+L102*OTRate+M102*SunRate+N102*PHRate),2)</f>
        <v>229.4</v>
      </c>
      <c r="Q102" s="9">
        <f>ROUND(O102*L102*OTRate,2)</f>
        <v>0</v>
      </c>
      <c r="R102" t="str">
        <f>TRIM(IF(E102="","No finish time ","")&amp;IF(H102&gt;MaxShift,"Shift over limit ","")&amp;IF(AND(H102&gt;5,F102&lt;MinBreak),"Short break ",""))</f>
        <v>Short break</v>
      </c>
    </row>
    <row r="103">
      <c r="A103" s="4" t="n">
        <v>46338</v>
      </c>
      <c r="B103" s="5">
        <f>A103-WEEKDAY(A103,3)</f>
        <v>46335.0</v>
      </c>
      <c r="C103" s="6" t="inlineStr">
        <is>
          <t>Hugo Brandt</t>
        </is>
      </c>
      <c r="D103" s="7" t="n">
        <v>0.9166666666666666</v>
      </c>
      <c r="E103" s="7" t="n">
        <v>0.25</v>
      </c>
      <c r="F103" s="6" t="n">
        <v>30</v>
      </c>
      <c r="G103" t="str">
        <f>IF(COUNTIF(Holidays,A103)&gt;0,"Public holiday",IF(WEEKDAY(A103,2)=7,"Sunday",IF(WEEKDAY(A103,2)=6,"Saturday","Weekday")))</f>
        <v>Weekday</v>
      </c>
      <c r="H103" s="8">
        <f>IF(OR(D103="",E103=""),0,ROUND(MOD(E103-D103,1)*24-F103/60,2))</f>
        <v>7.5</v>
      </c>
      <c r="I103" s="8">
        <f>IF(OR(G103="Sunday",G103="Public holiday"),0,H103)</f>
        <v>7.5</v>
      </c>
      <c r="J103" s="8">
        <f>SUMIFS($I$2:$I$149,$C$2:$C$149,C103,$B$2:$B$149,B103,$A$2:$A$149,"&lt;"&amp;A103)</f>
        <v>21</v>
      </c>
      <c r="K103" s="8">
        <f>MAX(0,MIN(I103,OrdHours-J103))</f>
        <v>7.5</v>
      </c>
      <c r="L103" s="8">
        <f>I103-K103</f>
        <v>0</v>
      </c>
      <c r="M103" s="8">
        <f>IF(G103="Sunday",H103,0)</f>
        <v>0</v>
      </c>
      <c r="N103" s="8">
        <f>IF(G103="Public holiday",H103,0)</f>
        <v>0</v>
      </c>
      <c r="O103" s="9">
        <f>INDEX(StaffRates,MATCH(C103,StaffNames,0))</f>
        <v>35.4</v>
      </c>
      <c r="P103" s="9">
        <f>ROUND(O103*(K103*IF(G103="Saturday",SatRate,1)+L103*OTRate+M103*SunRate+N103*PHRate),2)</f>
        <v>265.5</v>
      </c>
      <c r="Q103" s="9">
        <f>ROUND(O103*L103*OTRate,2)</f>
        <v>0</v>
      </c>
      <c r="R103">
        <f>TRIM(IF(E103="","No finish time ","")&amp;IF(H103&gt;MaxShift,"Shift over limit ","")&amp;IF(AND(H103&gt;5,F103&lt;MinBreak),"Short break ",""))</f>
      </c>
    </row>
    <row r="104">
      <c r="A104" s="4" t="n">
        <v>46339</v>
      </c>
      <c r="B104" s="5">
        <f>A104-WEEKDAY(A104,3)</f>
        <v>46335.0</v>
      </c>
      <c r="C104" s="6" t="inlineStr">
        <is>
          <t>Ava Kingsley</t>
        </is>
      </c>
      <c r="D104" s="7" t="n">
        <v>0.2708333333333333</v>
      </c>
      <c r="E104" s="7" t="n">
        <v>0.6458333333333334</v>
      </c>
      <c r="F104" s="6" t="n">
        <v>30</v>
      </c>
      <c r="G104" t="str">
        <f>IF(COUNTIF(Holidays,A104)&gt;0,"Public holiday",IF(WEEKDAY(A104,2)=7,"Sunday",IF(WEEKDAY(A104,2)=6,"Saturday","Weekday")))</f>
        <v>Weekday</v>
      </c>
      <c r="H104" s="8">
        <f>IF(OR(D104="",E104=""),0,ROUND(MOD(E104-D104,1)*24-F104/60,2))</f>
        <v>8.5</v>
      </c>
      <c r="I104" s="8">
        <f>IF(OR(G104="Sunday",G104="Public holiday"),0,H104)</f>
        <v>8.5</v>
      </c>
      <c r="J104" s="8">
        <f>SUMIFS($I$2:$I$149,$C$2:$C$149,C104,$B$2:$B$149,B104,$A$2:$A$149,"&lt;"&amp;A104)</f>
        <v>8.75</v>
      </c>
      <c r="K104" s="8">
        <f>MAX(0,MIN(I104,OrdHours-J104))</f>
        <v>8.5</v>
      </c>
      <c r="L104" s="8">
        <f>I104-K104</f>
        <v>0</v>
      </c>
      <c r="M104" s="8">
        <f>IF(G104="Sunday",H104,0)</f>
        <v>0</v>
      </c>
      <c r="N104" s="8">
        <f>IF(G104="Public holiday",H104,0)</f>
        <v>0</v>
      </c>
      <c r="O104" s="9">
        <f>INDEX(StaffRates,MATCH(C104,StaffNames,0))</f>
        <v>34.8</v>
      </c>
      <c r="P104" s="9">
        <f>ROUND(O104*(K104*IF(G104="Saturday",SatRate,1)+L104*OTRate+M104*SunRate+N104*PHRate),2)</f>
        <v>295.8</v>
      </c>
      <c r="Q104" s="9">
        <f>ROUND(O104*L104*OTRate,2)</f>
        <v>0</v>
      </c>
      <c r="R104">
        <f>TRIM(IF(E104="","No finish time ","")&amp;IF(H104&gt;MaxShift,"Shift over limit ","")&amp;IF(AND(H104&gt;5,F104&lt;MinBreak),"Short break ",""))</f>
      </c>
    </row>
    <row r="105">
      <c r="A105" s="4" t="n">
        <v>46339</v>
      </c>
      <c r="B105" s="5">
        <f>A105-WEEKDAY(A105,3)</f>
        <v>46335.0</v>
      </c>
      <c r="C105" s="6" t="inlineStr">
        <is>
          <t>Ben Okafor</t>
        </is>
      </c>
      <c r="D105" s="7" t="n">
        <v>0.1666666666666667</v>
      </c>
      <c r="E105" s="7" t="n">
        <v>0.5208333333333334</v>
      </c>
      <c r="F105" s="6" t="n">
        <v>30</v>
      </c>
      <c r="G105" t="str">
        <f>IF(COUNTIF(Holidays,A105)&gt;0,"Public holiday",IF(WEEKDAY(A105,2)=7,"Sunday",IF(WEEKDAY(A105,2)=6,"Saturday","Weekday")))</f>
        <v>Weekday</v>
      </c>
      <c r="H105" s="8">
        <f>IF(OR(D105="",E105=""),0,ROUND(MOD(E105-D105,1)*24-F105/60,2))</f>
        <v>8</v>
      </c>
      <c r="I105" s="8">
        <f>IF(OR(G105="Sunday",G105="Public holiday"),0,H105)</f>
        <v>8</v>
      </c>
      <c r="J105" s="8">
        <f>SUMIFS($I$2:$I$149,$C$2:$C$149,C105,$B$2:$B$149,B105,$A$2:$A$149,"&lt;"&amp;A105)</f>
        <v>34.5</v>
      </c>
      <c r="K105" s="8">
        <f>MAX(0,MIN(I105,OrdHours-J105))</f>
        <v>3.5</v>
      </c>
      <c r="L105" s="8">
        <f>I105-K105</f>
        <v>4.5</v>
      </c>
      <c r="M105" s="8">
        <f>IF(G105="Sunday",H105,0)</f>
        <v>0</v>
      </c>
      <c r="N105" s="8">
        <f>IF(G105="Public holiday",H105,0)</f>
        <v>0</v>
      </c>
      <c r="O105" s="9">
        <f>INDEX(StaffRates,MATCH(C105,StaffNames,0))</f>
        <v>33.1</v>
      </c>
      <c r="P105" s="9">
        <f>ROUND(O105*(K105*IF(G105="Saturday",SatRate,1)+L105*OTRate+M105*SunRate+N105*PHRate),2)</f>
        <v>339.28</v>
      </c>
      <c r="Q105" s="9">
        <f>ROUND(O105*L105*OTRate,2)</f>
        <v>223.43</v>
      </c>
      <c r="R105">
        <f>TRIM(IF(E105="","No finish time ","")&amp;IF(H105&gt;MaxShift,"Shift over limit ","")&amp;IF(AND(H105&gt;5,F105&lt;MinBreak),"Short break ",""))</f>
      </c>
    </row>
    <row r="106">
      <c r="A106" s="4" t="n">
        <v>46339</v>
      </c>
      <c r="B106" s="5">
        <f>A106-WEEKDAY(A106,3)</f>
        <v>46335.0</v>
      </c>
      <c r="C106" s="6" t="inlineStr">
        <is>
          <t>Cara Delmonte</t>
        </is>
      </c>
      <c r="D106" s="7" t="n">
        <v>0.1875</v>
      </c>
      <c r="E106" s="7" t="n">
        <v>0.5416666666666666</v>
      </c>
      <c r="F106" s="6" t="n">
        <v>30</v>
      </c>
      <c r="G106" t="str">
        <f>IF(COUNTIF(Holidays,A106)&gt;0,"Public holiday",IF(WEEKDAY(A106,2)=7,"Sunday",IF(WEEKDAY(A106,2)=6,"Saturday","Weekday")))</f>
        <v>Weekday</v>
      </c>
      <c r="H106" s="8">
        <f>IF(OR(D106="",E106=""),0,ROUND(MOD(E106-D106,1)*24-F106/60,2))</f>
        <v>8</v>
      </c>
      <c r="I106" s="8">
        <f>IF(OR(G106="Sunday",G106="Public holiday"),0,H106)</f>
        <v>8</v>
      </c>
      <c r="J106" s="8">
        <f>SUMIFS($I$2:$I$149,$C$2:$C$149,C106,$B$2:$B$149,B106,$A$2:$A$149,"&lt;"&amp;A106)</f>
        <v>35</v>
      </c>
      <c r="K106" s="8">
        <f>MAX(0,MIN(I106,OrdHours-J106))</f>
        <v>3</v>
      </c>
      <c r="L106" s="8">
        <f>I106-K106</f>
        <v>5</v>
      </c>
      <c r="M106" s="8">
        <f>IF(G106="Sunday",H106,0)</f>
        <v>0</v>
      </c>
      <c r="N106" s="8">
        <f>IF(G106="Public holiday",H106,0)</f>
        <v>0</v>
      </c>
      <c r="O106" s="9">
        <f>INDEX(StaffRates,MATCH(C106,StaffNames,0))</f>
        <v>36.2</v>
      </c>
      <c r="P106" s="9">
        <f>ROUND(O106*(K106*IF(G106="Saturday",SatRate,1)+L106*OTRate+M106*SunRate+N106*PHRate),2)</f>
        <v>380.1</v>
      </c>
      <c r="Q106" s="9">
        <f>ROUND(O106*L106*OTRate,2)</f>
        <v>271.5</v>
      </c>
      <c r="R106">
        <f>TRIM(IF(E106="","No finish time ","")&amp;IF(H106&gt;MaxShift,"Shift over limit ","")&amp;IF(AND(H106&gt;5,F106&lt;MinBreak),"Short break ",""))</f>
      </c>
    </row>
    <row r="107">
      <c r="A107" s="4" t="n">
        <v>46339</v>
      </c>
      <c r="B107" s="5">
        <f>A107-WEEKDAY(A107,3)</f>
        <v>46335.0</v>
      </c>
      <c r="C107" s="6" t="inlineStr">
        <is>
          <t>Felix Nguyen</t>
        </is>
      </c>
      <c r="D107" s="7" t="n">
        <v>0.4375</v>
      </c>
      <c r="E107" s="7" t="n">
        <v>0.6458333333333334</v>
      </c>
      <c r="F107" s="6" t="n">
        <v>0</v>
      </c>
      <c r="G107" t="str">
        <f>IF(COUNTIF(Holidays,A107)&gt;0,"Public holiday",IF(WEEKDAY(A107,2)=7,"Sunday",IF(WEEKDAY(A107,2)=6,"Saturday","Weekday")))</f>
        <v>Weekday</v>
      </c>
      <c r="H107" s="8">
        <f>IF(OR(D107="",E107=""),0,ROUND(MOD(E107-D107,1)*24-F107/60,2))</f>
        <v>5</v>
      </c>
      <c r="I107" s="8">
        <f>IF(OR(G107="Sunday",G107="Public holiday"),0,H107)</f>
        <v>5</v>
      </c>
      <c r="J107" s="8">
        <f>SUMIFS($I$2:$I$149,$C$2:$C$149,C107,$B$2:$B$149,B107,$A$2:$A$149,"&lt;"&amp;A107)</f>
        <v>15</v>
      </c>
      <c r="K107" s="8">
        <f>MAX(0,MIN(I107,OrdHours-J107))</f>
        <v>5</v>
      </c>
      <c r="L107" s="8">
        <f>I107-K107</f>
        <v>0</v>
      </c>
      <c r="M107" s="8">
        <f>IF(G107="Sunday",H107,0)</f>
        <v>0</v>
      </c>
      <c r="N107" s="8">
        <f>IF(G107="Public holiday",H107,0)</f>
        <v>0</v>
      </c>
      <c r="O107" s="9">
        <f>INDEX(StaffRates,MATCH(C107,StaffNames,0))</f>
        <v>27.9</v>
      </c>
      <c r="P107" s="9">
        <f>ROUND(O107*(K107*IF(G107="Saturday",SatRate,1)+L107*OTRate+M107*SunRate+N107*PHRate),2)</f>
        <v>139.5</v>
      </c>
      <c r="Q107" s="9">
        <f>ROUND(O107*L107*OTRate,2)</f>
        <v>0</v>
      </c>
      <c r="R107">
        <f>TRIM(IF(E107="","No finish time ","")&amp;IF(H107&gt;MaxShift,"Shift over limit ","")&amp;IF(AND(H107&gt;5,F107&lt;MinBreak),"Short break ",""))</f>
      </c>
    </row>
    <row r="108">
      <c r="A108" s="4" t="n">
        <v>46339</v>
      </c>
      <c r="B108" s="5">
        <f>A108-WEEKDAY(A108,3)</f>
        <v>46335.0</v>
      </c>
      <c r="C108" s="6" t="inlineStr">
        <is>
          <t>Gia Marchant</t>
        </is>
      </c>
      <c r="D108" s="7" t="n">
        <v>0.2916666666666667</v>
      </c>
      <c r="E108" s="7" t="n">
        <v>0.6458333333333334</v>
      </c>
      <c r="F108" s="6" t="n">
        <v>30</v>
      </c>
      <c r="G108" t="str">
        <f>IF(COUNTIF(Holidays,A108)&gt;0,"Public holiday",IF(WEEKDAY(A108,2)=7,"Sunday",IF(WEEKDAY(A108,2)=6,"Saturday","Weekday")))</f>
        <v>Weekday</v>
      </c>
      <c r="H108" s="8">
        <f>IF(OR(D108="",E108=""),0,ROUND(MOD(E108-D108,1)*24-F108/60,2))</f>
        <v>8</v>
      </c>
      <c r="I108" s="8">
        <f>IF(OR(G108="Sunday",G108="Public holiday"),0,H108)</f>
        <v>8</v>
      </c>
      <c r="J108" s="8">
        <f>SUMIFS($I$2:$I$149,$C$2:$C$149,C108,$B$2:$B$149,B108,$A$2:$A$149,"&lt;"&amp;A108)</f>
        <v>24.75</v>
      </c>
      <c r="K108" s="8">
        <f>MAX(0,MIN(I108,OrdHours-J108))</f>
        <v>8</v>
      </c>
      <c r="L108" s="8">
        <f>I108-K108</f>
        <v>0</v>
      </c>
      <c r="M108" s="8">
        <f>IF(G108="Sunday",H108,0)</f>
        <v>0</v>
      </c>
      <c r="N108" s="8">
        <f>IF(G108="Public holiday",H108,0)</f>
        <v>0</v>
      </c>
      <c r="O108" s="9">
        <f>INDEX(StaffRates,MATCH(C108,StaffNames,0))</f>
        <v>29.6</v>
      </c>
      <c r="P108" s="9">
        <f>ROUND(O108*(K108*IF(G108="Saturday",SatRate,1)+L108*OTRate+M108*SunRate+N108*PHRate),2)</f>
        <v>236.8</v>
      </c>
      <c r="Q108" s="9">
        <f>ROUND(O108*L108*OTRate,2)</f>
        <v>0</v>
      </c>
      <c r="R108">
        <f>TRIM(IF(E108="","No finish time ","")&amp;IF(H108&gt;MaxShift,"Shift over limit ","")&amp;IF(AND(H108&gt;5,F108&lt;MinBreak),"Short break ",""))</f>
      </c>
    </row>
    <row r="109">
      <c r="A109" s="4" t="n">
        <v>46339</v>
      </c>
      <c r="B109" s="5">
        <f>A109-WEEKDAY(A109,3)</f>
        <v>46335.0</v>
      </c>
      <c r="C109" s="6" t="inlineStr">
        <is>
          <t>Hugo Brandt</t>
        </is>
      </c>
      <c r="D109" s="7" t="n">
        <v>0.9375</v>
      </c>
      <c r="E109" s="7" t="n">
        <v>0.3125</v>
      </c>
      <c r="F109" s="6" t="n">
        <v>30</v>
      </c>
      <c r="G109" t="str">
        <f>IF(COUNTIF(Holidays,A109)&gt;0,"Public holiday",IF(WEEKDAY(A109,2)=7,"Sunday",IF(WEEKDAY(A109,2)=6,"Saturday","Weekday")))</f>
        <v>Weekday</v>
      </c>
      <c r="H109" s="8">
        <f>IF(OR(D109="",E109=""),0,ROUND(MOD(E109-D109,1)*24-F109/60,2))</f>
        <v>8.5</v>
      </c>
      <c r="I109" s="8">
        <f>IF(OR(G109="Sunday",G109="Public holiday"),0,H109)</f>
        <v>8.5</v>
      </c>
      <c r="J109" s="8">
        <f>SUMIFS($I$2:$I$149,$C$2:$C$149,C109,$B$2:$B$149,B109,$A$2:$A$149,"&lt;"&amp;A109)</f>
        <v>28.5</v>
      </c>
      <c r="K109" s="8">
        <f>MAX(0,MIN(I109,OrdHours-J109))</f>
        <v>8.5</v>
      </c>
      <c r="L109" s="8">
        <f>I109-K109</f>
        <v>0</v>
      </c>
      <c r="M109" s="8">
        <f>IF(G109="Sunday",H109,0)</f>
        <v>0</v>
      </c>
      <c r="N109" s="8">
        <f>IF(G109="Public holiday",H109,0)</f>
        <v>0</v>
      </c>
      <c r="O109" s="9">
        <f>INDEX(StaffRates,MATCH(C109,StaffNames,0))</f>
        <v>35.4</v>
      </c>
      <c r="P109" s="9">
        <f>ROUND(O109*(K109*IF(G109="Saturday",SatRate,1)+L109*OTRate+M109*SunRate+N109*PHRate),2)</f>
        <v>300.9</v>
      </c>
      <c r="Q109" s="9">
        <f>ROUND(O109*L109*OTRate,2)</f>
        <v>0</v>
      </c>
      <c r="R109">
        <f>TRIM(IF(E109="","No finish time ","")&amp;IF(H109&gt;MaxShift,"Shift over limit ","")&amp;IF(AND(H109&gt;5,F109&lt;MinBreak),"Short break ",""))</f>
      </c>
    </row>
    <row r="110">
      <c r="A110" s="4" t="n">
        <v>46340</v>
      </c>
      <c r="B110" s="5">
        <f>A110-WEEKDAY(A110,3)</f>
        <v>46335.0</v>
      </c>
      <c r="C110" s="6" t="inlineStr">
        <is>
          <t>Ava Kingsley</t>
        </is>
      </c>
      <c r="D110" s="7" t="n">
        <v>0.2604166666666667</v>
      </c>
      <c r="E110" s="7" t="n">
        <v>0.6354166666666666</v>
      </c>
      <c r="F110" s="6" t="n">
        <v>30</v>
      </c>
      <c r="G110" t="str">
        <f>IF(COUNTIF(Holidays,A110)&gt;0,"Public holiday",IF(WEEKDAY(A110,2)=7,"Sunday",IF(WEEKDAY(A110,2)=6,"Saturday","Weekday")))</f>
        <v>Saturday</v>
      </c>
      <c r="H110" s="8">
        <f>IF(OR(D110="",E110=""),0,ROUND(MOD(E110-D110,1)*24-F110/60,2))</f>
        <v>8.5</v>
      </c>
      <c r="I110" s="8">
        <f>IF(OR(G110="Sunday",G110="Public holiday"),0,H110)</f>
        <v>8.5</v>
      </c>
      <c r="J110" s="8">
        <f>SUMIFS($I$2:$I$149,$C$2:$C$149,C110,$B$2:$B$149,B110,$A$2:$A$149,"&lt;"&amp;A110)</f>
        <v>17.25</v>
      </c>
      <c r="K110" s="8">
        <f>MAX(0,MIN(I110,OrdHours-J110))</f>
        <v>8.5</v>
      </c>
      <c r="L110" s="8">
        <f>I110-K110</f>
        <v>0</v>
      </c>
      <c r="M110" s="8">
        <f>IF(G110="Sunday",H110,0)</f>
        <v>0</v>
      </c>
      <c r="N110" s="8">
        <f>IF(G110="Public holiday",H110,0)</f>
        <v>0</v>
      </c>
      <c r="O110" s="9">
        <f>INDEX(StaffRates,MATCH(C110,StaffNames,0))</f>
        <v>34.8</v>
      </c>
      <c r="P110" s="9">
        <f>ROUND(O110*(K110*IF(G110="Saturday",SatRate,1)+L110*OTRate+M110*SunRate+N110*PHRate),2)</f>
        <v>369.75</v>
      </c>
      <c r="Q110" s="9">
        <f>ROUND(O110*L110*OTRate,2)</f>
        <v>0</v>
      </c>
      <c r="R110">
        <f>TRIM(IF(E110="","No finish time ","")&amp;IF(H110&gt;MaxShift,"Shift over limit ","")&amp;IF(AND(H110&gt;5,F110&lt;MinBreak),"Short break ",""))</f>
      </c>
    </row>
    <row r="111">
      <c r="A111" s="4" t="n">
        <v>46340</v>
      </c>
      <c r="B111" s="5">
        <f>A111-WEEKDAY(A111,3)</f>
        <v>46335.0</v>
      </c>
      <c r="C111" s="6" t="inlineStr">
        <is>
          <t>Ben Okafor</t>
        </is>
      </c>
      <c r="D111" s="7" t="n">
        <v>0.1666666666666667</v>
      </c>
      <c r="E111" s="7" t="n">
        <v>0.5833333333333334</v>
      </c>
      <c r="F111" s="6" t="n">
        <v>30</v>
      </c>
      <c r="G111" t="str">
        <f>IF(COUNTIF(Holidays,A111)&gt;0,"Public holiday",IF(WEEKDAY(A111,2)=7,"Sunday",IF(WEEKDAY(A111,2)=6,"Saturday","Weekday")))</f>
        <v>Saturday</v>
      </c>
      <c r="H111" s="8">
        <f>IF(OR(D111="",E111=""),0,ROUND(MOD(E111-D111,1)*24-F111/60,2))</f>
        <v>9.5</v>
      </c>
      <c r="I111" s="8">
        <f>IF(OR(G111="Sunday",G111="Public holiday"),0,H111)</f>
        <v>9.5</v>
      </c>
      <c r="J111" s="8">
        <f>SUMIFS($I$2:$I$149,$C$2:$C$149,C111,$B$2:$B$149,B111,$A$2:$A$149,"&lt;"&amp;A111)</f>
        <v>42.5</v>
      </c>
      <c r="K111" s="8">
        <f>MAX(0,MIN(I111,OrdHours-J111))</f>
        <v>0</v>
      </c>
      <c r="L111" s="8">
        <f>I111-K111</f>
        <v>9.5</v>
      </c>
      <c r="M111" s="8">
        <f>IF(G111="Sunday",H111,0)</f>
        <v>0</v>
      </c>
      <c r="N111" s="8">
        <f>IF(G111="Public holiday",H111,0)</f>
        <v>0</v>
      </c>
      <c r="O111" s="9">
        <f>INDEX(StaffRates,MATCH(C111,StaffNames,0))</f>
        <v>33.1</v>
      </c>
      <c r="P111" s="9">
        <f>ROUND(O111*(K111*IF(G111="Saturday",SatRate,1)+L111*OTRate+M111*SunRate+N111*PHRate),2)</f>
        <v>471.68</v>
      </c>
      <c r="Q111" s="9">
        <f>ROUND(O111*L111*OTRate,2)</f>
        <v>471.68</v>
      </c>
      <c r="R111">
        <f>TRIM(IF(E111="","No finish time ","")&amp;IF(H111&gt;MaxShift,"Shift over limit ","")&amp;IF(AND(H111&gt;5,F111&lt;MinBreak),"Short break ",""))</f>
      </c>
    </row>
    <row r="112">
      <c r="A112" s="4" t="n">
        <v>46340</v>
      </c>
      <c r="B112" s="5">
        <f>A112-WEEKDAY(A112,3)</f>
        <v>46335.0</v>
      </c>
      <c r="C112" s="6" t="inlineStr">
        <is>
          <t>Cara Delmonte</t>
        </is>
      </c>
      <c r="D112" s="7" t="n">
        <v>0.2083333333333333</v>
      </c>
      <c r="E112" s="7" t="n">
        <v>0.5833333333333334</v>
      </c>
      <c r="F112" s="6" t="n">
        <v>30</v>
      </c>
      <c r="G112" t="str">
        <f>IF(COUNTIF(Holidays,A112)&gt;0,"Public holiday",IF(WEEKDAY(A112,2)=7,"Sunday",IF(WEEKDAY(A112,2)=6,"Saturday","Weekday")))</f>
        <v>Saturday</v>
      </c>
      <c r="H112" s="8">
        <f>IF(OR(D112="",E112=""),0,ROUND(MOD(E112-D112,1)*24-F112/60,2))</f>
        <v>8.5</v>
      </c>
      <c r="I112" s="8">
        <f>IF(OR(G112="Sunday",G112="Public holiday"),0,H112)</f>
        <v>8.5</v>
      </c>
      <c r="J112" s="8">
        <f>SUMIFS($I$2:$I$149,$C$2:$C$149,C112,$B$2:$B$149,B112,$A$2:$A$149,"&lt;"&amp;A112)</f>
        <v>43</v>
      </c>
      <c r="K112" s="8">
        <f>MAX(0,MIN(I112,OrdHours-J112))</f>
        <v>0</v>
      </c>
      <c r="L112" s="8">
        <f>I112-K112</f>
        <v>8.5</v>
      </c>
      <c r="M112" s="8">
        <f>IF(G112="Sunday",H112,0)</f>
        <v>0</v>
      </c>
      <c r="N112" s="8">
        <f>IF(G112="Public holiday",H112,0)</f>
        <v>0</v>
      </c>
      <c r="O112" s="9">
        <f>INDEX(StaffRates,MATCH(C112,StaffNames,0))</f>
        <v>36.2</v>
      </c>
      <c r="P112" s="9">
        <f>ROUND(O112*(K112*IF(G112="Saturday",SatRate,1)+L112*OTRate+M112*SunRate+N112*PHRate),2)</f>
        <v>461.55</v>
      </c>
      <c r="Q112" s="9">
        <f>ROUND(O112*L112*OTRate,2)</f>
        <v>461.55</v>
      </c>
      <c r="R112">
        <f>TRIM(IF(E112="","No finish time ","")&amp;IF(H112&gt;MaxShift,"Shift over limit ","")&amp;IF(AND(H112&gt;5,F112&lt;MinBreak),"Short break ",""))</f>
      </c>
    </row>
    <row r="113">
      <c r="A113" s="4" t="n">
        <v>46342</v>
      </c>
      <c r="B113" s="5">
        <f>A113-WEEKDAY(A113,3)</f>
        <v>46342.0</v>
      </c>
      <c r="C113" s="6" t="inlineStr">
        <is>
          <t>Ava Kingsley</t>
        </is>
      </c>
      <c r="D113" s="7" t="n">
        <v>0.25</v>
      </c>
      <c r="E113" s="7" t="n">
        <v>0.6458333333333334</v>
      </c>
      <c r="F113" s="6" t="n">
        <v>30</v>
      </c>
      <c r="G113" t="str">
        <f>IF(COUNTIF(Holidays,A113)&gt;0,"Public holiday",IF(WEEKDAY(A113,2)=7,"Sunday",IF(WEEKDAY(A113,2)=6,"Saturday","Weekday")))</f>
        <v>Weekday</v>
      </c>
      <c r="H113" s="8">
        <f>IF(OR(D113="",E113=""),0,ROUND(MOD(E113-D113,1)*24-F113/60,2))</f>
        <v>9</v>
      </c>
      <c r="I113" s="8">
        <f>IF(OR(G113="Sunday",G113="Public holiday"),0,H113)</f>
        <v>9</v>
      </c>
      <c r="J113" s="8">
        <f>SUMIFS($I$2:$I$149,$C$2:$C$149,C113,$B$2:$B$149,B113,$A$2:$A$149,"&lt;"&amp;A113)</f>
        <v>0</v>
      </c>
      <c r="K113" s="8">
        <f>MAX(0,MIN(I113,OrdHours-J113))</f>
        <v>9</v>
      </c>
      <c r="L113" s="8">
        <f>I113-K113</f>
        <v>0</v>
      </c>
      <c r="M113" s="8">
        <f>IF(G113="Sunday",H113,0)</f>
        <v>0</v>
      </c>
      <c r="N113" s="8">
        <f>IF(G113="Public holiday",H113,0)</f>
        <v>0</v>
      </c>
      <c r="O113" s="9">
        <f>INDEX(StaffRates,MATCH(C113,StaffNames,0))</f>
        <v>34.8</v>
      </c>
      <c r="P113" s="9">
        <f>ROUND(O113*(K113*IF(G113="Saturday",SatRate,1)+L113*OTRate+M113*SunRate+N113*PHRate),2)</f>
        <v>313.2</v>
      </c>
      <c r="Q113" s="9">
        <f>ROUND(O113*L113*OTRate,2)</f>
        <v>0</v>
      </c>
      <c r="R113">
        <f>TRIM(IF(E113="","No finish time ","")&amp;IF(H113&gt;MaxShift,"Shift over limit ","")&amp;IF(AND(H113&gt;5,F113&lt;MinBreak),"Short break ",""))</f>
      </c>
    </row>
    <row r="114">
      <c r="A114" s="4" t="n">
        <v>46342</v>
      </c>
      <c r="B114" s="5">
        <f>A114-WEEKDAY(A114,3)</f>
        <v>46342.0</v>
      </c>
      <c r="C114" s="6" t="inlineStr">
        <is>
          <t>Ben Okafor</t>
        </is>
      </c>
      <c r="D114" s="7" t="n">
        <v>0.1875</v>
      </c>
      <c r="E114" s="7" t="n">
        <v>0.5625</v>
      </c>
      <c r="F114" s="6" t="n">
        <v>30</v>
      </c>
      <c r="G114" t="str">
        <f>IF(COUNTIF(Holidays,A114)&gt;0,"Public holiday",IF(WEEKDAY(A114,2)=7,"Sunday",IF(WEEKDAY(A114,2)=6,"Saturday","Weekday")))</f>
        <v>Weekday</v>
      </c>
      <c r="H114" s="8">
        <f>IF(OR(D114="",E114=""),0,ROUND(MOD(E114-D114,1)*24-F114/60,2))</f>
        <v>8.5</v>
      </c>
      <c r="I114" s="8">
        <f>IF(OR(G114="Sunday",G114="Public holiday"),0,H114)</f>
        <v>8.5</v>
      </c>
      <c r="J114" s="8">
        <f>SUMIFS($I$2:$I$149,$C$2:$C$149,C114,$B$2:$B$149,B114,$A$2:$A$149,"&lt;"&amp;A114)</f>
        <v>0</v>
      </c>
      <c r="K114" s="8">
        <f>MAX(0,MIN(I114,OrdHours-J114))</f>
        <v>8.5</v>
      </c>
      <c r="L114" s="8">
        <f>I114-K114</f>
        <v>0</v>
      </c>
      <c r="M114" s="8">
        <f>IF(G114="Sunday",H114,0)</f>
        <v>0</v>
      </c>
      <c r="N114" s="8">
        <f>IF(G114="Public holiday",H114,0)</f>
        <v>0</v>
      </c>
      <c r="O114" s="9">
        <f>INDEX(StaffRates,MATCH(C114,StaffNames,0))</f>
        <v>33.1</v>
      </c>
      <c r="P114" s="9">
        <f>ROUND(O114*(K114*IF(G114="Saturday",SatRate,1)+L114*OTRate+M114*SunRate+N114*PHRate),2)</f>
        <v>281.35</v>
      </c>
      <c r="Q114" s="9">
        <f>ROUND(O114*L114*OTRate,2)</f>
        <v>0</v>
      </c>
      <c r="R114">
        <f>TRIM(IF(E114="","No finish time ","")&amp;IF(H114&gt;MaxShift,"Shift over limit ","")&amp;IF(AND(H114&gt;5,F114&lt;MinBreak),"Short break ",""))</f>
      </c>
    </row>
    <row r="115">
      <c r="A115" s="4" t="n">
        <v>46342</v>
      </c>
      <c r="B115" s="5">
        <f>A115-WEEKDAY(A115,3)</f>
        <v>46342.0</v>
      </c>
      <c r="C115" s="6" t="inlineStr">
        <is>
          <t>Cara Delmonte</t>
        </is>
      </c>
      <c r="D115" s="7" t="n">
        <v>0.2291666666666667</v>
      </c>
      <c r="E115" s="7" t="n">
        <v>0.5833333333333334</v>
      </c>
      <c r="F115" s="6" t="n">
        <v>30</v>
      </c>
      <c r="G115" t="str">
        <f>IF(COUNTIF(Holidays,A115)&gt;0,"Public holiday",IF(WEEKDAY(A115,2)=7,"Sunday",IF(WEEKDAY(A115,2)=6,"Saturday","Weekday")))</f>
        <v>Weekday</v>
      </c>
      <c r="H115" s="8">
        <f>IF(OR(D115="",E115=""),0,ROUND(MOD(E115-D115,1)*24-F115/60,2))</f>
        <v>8</v>
      </c>
      <c r="I115" s="8">
        <f>IF(OR(G115="Sunday",G115="Public holiday"),0,H115)</f>
        <v>8</v>
      </c>
      <c r="J115" s="8">
        <f>SUMIFS($I$2:$I$149,$C$2:$C$149,C115,$B$2:$B$149,B115,$A$2:$A$149,"&lt;"&amp;A115)</f>
        <v>0</v>
      </c>
      <c r="K115" s="8">
        <f>MAX(0,MIN(I115,OrdHours-J115))</f>
        <v>8</v>
      </c>
      <c r="L115" s="8">
        <f>I115-K115</f>
        <v>0</v>
      </c>
      <c r="M115" s="8">
        <f>IF(G115="Sunday",H115,0)</f>
        <v>0</v>
      </c>
      <c r="N115" s="8">
        <f>IF(G115="Public holiday",H115,0)</f>
        <v>0</v>
      </c>
      <c r="O115" s="9">
        <f>INDEX(StaffRates,MATCH(C115,StaffNames,0))</f>
        <v>36.2</v>
      </c>
      <c r="P115" s="9">
        <f>ROUND(O115*(K115*IF(G115="Saturday",SatRate,1)+L115*OTRate+M115*SunRate+N115*PHRate),2)</f>
        <v>289.6</v>
      </c>
      <c r="Q115" s="9">
        <f>ROUND(O115*L115*OTRate,2)</f>
        <v>0</v>
      </c>
      <c r="R115">
        <f>TRIM(IF(E115="","No finish time ","")&amp;IF(H115&gt;MaxShift,"Shift over limit ","")&amp;IF(AND(H115&gt;5,F115&lt;MinBreak),"Short break ",""))</f>
      </c>
    </row>
    <row r="116">
      <c r="A116" s="4" t="n">
        <v>46342</v>
      </c>
      <c r="B116" s="5">
        <f>A116-WEEKDAY(A116,3)</f>
        <v>46342.0</v>
      </c>
      <c r="C116" s="6" t="inlineStr">
        <is>
          <t>Esme Rowe</t>
        </is>
      </c>
      <c r="D116" s="7" t="n">
        <v>0.3125</v>
      </c>
      <c r="E116" s="7" t="n">
        <v>0.4791666666666667</v>
      </c>
      <c r="F116" s="6" t="n">
        <v>0</v>
      </c>
      <c r="G116" t="str">
        <f>IF(COUNTIF(Holidays,A116)&gt;0,"Public holiday",IF(WEEKDAY(A116,2)=7,"Sunday",IF(WEEKDAY(A116,2)=6,"Saturday","Weekday")))</f>
        <v>Weekday</v>
      </c>
      <c r="H116" s="8">
        <f>IF(OR(D116="",E116=""),0,ROUND(MOD(E116-D116,1)*24-F116/60,2))</f>
        <v>4</v>
      </c>
      <c r="I116" s="8">
        <f>IF(OR(G116="Sunday",G116="Public holiday"),0,H116)</f>
        <v>4</v>
      </c>
      <c r="J116" s="8">
        <f>SUMIFS($I$2:$I$149,$C$2:$C$149,C116,$B$2:$B$149,B116,$A$2:$A$149,"&lt;"&amp;A116)</f>
        <v>0</v>
      </c>
      <c r="K116" s="8">
        <f>MAX(0,MIN(I116,OrdHours-J116))</f>
        <v>4</v>
      </c>
      <c r="L116" s="8">
        <f>I116-K116</f>
        <v>0</v>
      </c>
      <c r="M116" s="8">
        <f>IF(G116="Sunday",H116,0)</f>
        <v>0</v>
      </c>
      <c r="N116" s="8">
        <f>IF(G116="Public holiday",H116,0)</f>
        <v>0</v>
      </c>
      <c r="O116" s="9">
        <f>INDEX(StaffRates,MATCH(C116,StaffNames,0))</f>
        <v>27.9</v>
      </c>
      <c r="P116" s="9">
        <f>ROUND(O116*(K116*IF(G116="Saturday",SatRate,1)+L116*OTRate+M116*SunRate+N116*PHRate),2)</f>
        <v>111.6</v>
      </c>
      <c r="Q116" s="9">
        <f>ROUND(O116*L116*OTRate,2)</f>
        <v>0</v>
      </c>
      <c r="R116">
        <f>TRIM(IF(E116="","No finish time ","")&amp;IF(H116&gt;MaxShift,"Shift over limit ","")&amp;IF(AND(H116&gt;5,F116&lt;MinBreak),"Short break ",""))</f>
      </c>
    </row>
    <row r="117">
      <c r="A117" s="4" t="n">
        <v>46342</v>
      </c>
      <c r="B117" s="5">
        <f>A117-WEEKDAY(A117,3)</f>
        <v>46342.0</v>
      </c>
      <c r="C117" s="6" t="inlineStr">
        <is>
          <t>Felix Nguyen</t>
        </is>
      </c>
      <c r="D117" s="7" t="n">
        <v>0.4583333333333333</v>
      </c>
      <c r="E117" s="7" t="n">
        <v>0.7916666666666666</v>
      </c>
      <c r="F117" s="6" t="n">
        <v>30</v>
      </c>
      <c r="G117" t="str">
        <f>IF(COUNTIF(Holidays,A117)&gt;0,"Public holiday",IF(WEEKDAY(A117,2)=7,"Sunday",IF(WEEKDAY(A117,2)=6,"Saturday","Weekday")))</f>
        <v>Weekday</v>
      </c>
      <c r="H117" s="8">
        <f>IF(OR(D117="",E117=""),0,ROUND(MOD(E117-D117,1)*24-F117/60,2))</f>
        <v>7.5</v>
      </c>
      <c r="I117" s="8">
        <f>IF(OR(G117="Sunday",G117="Public holiday"),0,H117)</f>
        <v>7.5</v>
      </c>
      <c r="J117" s="8">
        <f>SUMIFS($I$2:$I$149,$C$2:$C$149,C117,$B$2:$B$149,B117,$A$2:$A$149,"&lt;"&amp;A117)</f>
        <v>0</v>
      </c>
      <c r="K117" s="8">
        <f>MAX(0,MIN(I117,OrdHours-J117))</f>
        <v>7.5</v>
      </c>
      <c r="L117" s="8">
        <f>I117-K117</f>
        <v>0</v>
      </c>
      <c r="M117" s="8">
        <f>IF(G117="Sunday",H117,0)</f>
        <v>0</v>
      </c>
      <c r="N117" s="8">
        <f>IF(G117="Public holiday",H117,0)</f>
        <v>0</v>
      </c>
      <c r="O117" s="9">
        <f>INDEX(StaffRates,MATCH(C117,StaffNames,0))</f>
        <v>27.9</v>
      </c>
      <c r="P117" s="9">
        <f>ROUND(O117*(K117*IF(G117="Saturday",SatRate,1)+L117*OTRate+M117*SunRate+N117*PHRate),2)</f>
        <v>209.25</v>
      </c>
      <c r="Q117" s="9">
        <f>ROUND(O117*L117*OTRate,2)</f>
        <v>0</v>
      </c>
      <c r="R117">
        <f>TRIM(IF(E117="","No finish time ","")&amp;IF(H117&gt;MaxShift,"Shift over limit ","")&amp;IF(AND(H117&gt;5,F117&lt;MinBreak),"Short break ",""))</f>
      </c>
    </row>
    <row r="118">
      <c r="A118" s="4" t="n">
        <v>46342</v>
      </c>
      <c r="B118" s="5">
        <f>A118-WEEKDAY(A118,3)</f>
        <v>46342.0</v>
      </c>
      <c r="C118" s="6" t="inlineStr">
        <is>
          <t>Gia Marchant</t>
        </is>
      </c>
      <c r="D118" s="7" t="n">
        <v>0.3125</v>
      </c>
      <c r="E118" s="7" t="n">
        <v>0.5208333333333334</v>
      </c>
      <c r="F118" s="6" t="n">
        <v>15</v>
      </c>
      <c r="G118" t="str">
        <f>IF(COUNTIF(Holidays,A118)&gt;0,"Public holiday",IF(WEEKDAY(A118,2)=7,"Sunday",IF(WEEKDAY(A118,2)=6,"Saturday","Weekday")))</f>
        <v>Weekday</v>
      </c>
      <c r="H118" s="8">
        <f>IF(OR(D118="",E118=""),0,ROUND(MOD(E118-D118,1)*24-F118/60,2))</f>
        <v>4.75</v>
      </c>
      <c r="I118" s="8">
        <f>IF(OR(G118="Sunday",G118="Public holiday"),0,H118)</f>
        <v>4.75</v>
      </c>
      <c r="J118" s="8">
        <f>SUMIFS($I$2:$I$149,$C$2:$C$149,C118,$B$2:$B$149,B118,$A$2:$A$149,"&lt;"&amp;A118)</f>
        <v>0</v>
      </c>
      <c r="K118" s="8">
        <f>MAX(0,MIN(I118,OrdHours-J118))</f>
        <v>4.75</v>
      </c>
      <c r="L118" s="8">
        <f>I118-K118</f>
        <v>0</v>
      </c>
      <c r="M118" s="8">
        <f>IF(G118="Sunday",H118,0)</f>
        <v>0</v>
      </c>
      <c r="N118" s="8">
        <f>IF(G118="Public holiday",H118,0)</f>
        <v>0</v>
      </c>
      <c r="O118" s="9">
        <f>INDEX(StaffRates,MATCH(C118,StaffNames,0))</f>
        <v>29.6</v>
      </c>
      <c r="P118" s="9">
        <f>ROUND(O118*(K118*IF(G118="Saturday",SatRate,1)+L118*OTRate+M118*SunRate+N118*PHRate),2)</f>
        <v>140.6</v>
      </c>
      <c r="Q118" s="9">
        <f>ROUND(O118*L118*OTRate,2)</f>
        <v>0</v>
      </c>
      <c r="R118">
        <f>TRIM(IF(E118="","No finish time ","")&amp;IF(H118&gt;MaxShift,"Shift over limit ","")&amp;IF(AND(H118&gt;5,F118&lt;MinBreak),"Short break ",""))</f>
      </c>
    </row>
    <row r="119">
      <c r="A119" s="4" t="n">
        <v>46343</v>
      </c>
      <c r="B119" s="5">
        <f>A119-WEEKDAY(A119,3)</f>
        <v>46342.0</v>
      </c>
      <c r="C119" s="6" t="inlineStr">
        <is>
          <t>Ben Okafor</t>
        </is>
      </c>
      <c r="D119" s="7" t="n">
        <v>0.1666666666666667</v>
      </c>
      <c r="E119" s="7" t="n">
        <v>0.5416666666666666</v>
      </c>
      <c r="F119" s="6" t="n">
        <v>30</v>
      </c>
      <c r="G119" t="str">
        <f>IF(COUNTIF(Holidays,A119)&gt;0,"Public holiday",IF(WEEKDAY(A119,2)=7,"Sunday",IF(WEEKDAY(A119,2)=6,"Saturday","Weekday")))</f>
        <v>Weekday</v>
      </c>
      <c r="H119" s="8">
        <f>IF(OR(D119="",E119=""),0,ROUND(MOD(E119-D119,1)*24-F119/60,2))</f>
        <v>8.5</v>
      </c>
      <c r="I119" s="8">
        <f>IF(OR(G119="Sunday",G119="Public holiday"),0,H119)</f>
        <v>8.5</v>
      </c>
      <c r="J119" s="8">
        <f>SUMIFS($I$2:$I$149,$C$2:$C$149,C119,$B$2:$B$149,B119,$A$2:$A$149,"&lt;"&amp;A119)</f>
        <v>8.5</v>
      </c>
      <c r="K119" s="8">
        <f>MAX(0,MIN(I119,OrdHours-J119))</f>
        <v>8.5</v>
      </c>
      <c r="L119" s="8">
        <f>I119-K119</f>
        <v>0</v>
      </c>
      <c r="M119" s="8">
        <f>IF(G119="Sunday",H119,0)</f>
        <v>0</v>
      </c>
      <c r="N119" s="8">
        <f>IF(G119="Public holiday",H119,0)</f>
        <v>0</v>
      </c>
      <c r="O119" s="9">
        <f>INDEX(StaffRates,MATCH(C119,StaffNames,0))</f>
        <v>33.1</v>
      </c>
      <c r="P119" s="9">
        <f>ROUND(O119*(K119*IF(G119="Saturday",SatRate,1)+L119*OTRate+M119*SunRate+N119*PHRate),2)</f>
        <v>281.35</v>
      </c>
      <c r="Q119" s="9">
        <f>ROUND(O119*L119*OTRate,2)</f>
        <v>0</v>
      </c>
      <c r="R119">
        <f>TRIM(IF(E119="","No finish time ","")&amp;IF(H119&gt;MaxShift,"Shift over limit ","")&amp;IF(AND(H119&gt;5,F119&lt;MinBreak),"Short break ",""))</f>
      </c>
    </row>
    <row r="120">
      <c r="A120" s="4" t="n">
        <v>46343</v>
      </c>
      <c r="B120" s="5">
        <f>A120-WEEKDAY(A120,3)</f>
        <v>46342.0</v>
      </c>
      <c r="C120" s="6" t="inlineStr">
        <is>
          <t>Cara Delmonte</t>
        </is>
      </c>
      <c r="D120" s="7" t="n">
        <v>0.2083333333333333</v>
      </c>
      <c r="E120" s="7" t="n">
        <v>0.6041666666666666</v>
      </c>
      <c r="F120" s="6" t="n">
        <v>30</v>
      </c>
      <c r="G120" t="str">
        <f>IF(COUNTIF(Holidays,A120)&gt;0,"Public holiday",IF(WEEKDAY(A120,2)=7,"Sunday",IF(WEEKDAY(A120,2)=6,"Saturday","Weekday")))</f>
        <v>Weekday</v>
      </c>
      <c r="H120" s="8">
        <f>IF(OR(D120="",E120=""),0,ROUND(MOD(E120-D120,1)*24-F120/60,2))</f>
        <v>9</v>
      </c>
      <c r="I120" s="8">
        <f>IF(OR(G120="Sunday",G120="Public holiday"),0,H120)</f>
        <v>9</v>
      </c>
      <c r="J120" s="8">
        <f>SUMIFS($I$2:$I$149,$C$2:$C$149,C120,$B$2:$B$149,B120,$A$2:$A$149,"&lt;"&amp;A120)</f>
        <v>8</v>
      </c>
      <c r="K120" s="8">
        <f>MAX(0,MIN(I120,OrdHours-J120))</f>
        <v>9</v>
      </c>
      <c r="L120" s="8">
        <f>I120-K120</f>
        <v>0</v>
      </c>
      <c r="M120" s="8">
        <f>IF(G120="Sunday",H120,0)</f>
        <v>0</v>
      </c>
      <c r="N120" s="8">
        <f>IF(G120="Public holiday",H120,0)</f>
        <v>0</v>
      </c>
      <c r="O120" s="9">
        <f>INDEX(StaffRates,MATCH(C120,StaffNames,0))</f>
        <v>36.2</v>
      </c>
      <c r="P120" s="9">
        <f>ROUND(O120*(K120*IF(G120="Saturday",SatRate,1)+L120*OTRate+M120*SunRate+N120*PHRate),2)</f>
        <v>325.8</v>
      </c>
      <c r="Q120" s="9">
        <f>ROUND(O120*L120*OTRate,2)</f>
        <v>0</v>
      </c>
      <c r="R120">
        <f>TRIM(IF(E120="","No finish time ","")&amp;IF(H120&gt;MaxShift,"Shift over limit ","")&amp;IF(AND(H120&gt;5,F120&lt;MinBreak),"Short break ",""))</f>
      </c>
    </row>
    <row r="121">
      <c r="A121" s="4" t="n">
        <v>46343</v>
      </c>
      <c r="B121" s="5">
        <f>A121-WEEKDAY(A121,3)</f>
        <v>46342.0</v>
      </c>
      <c r="C121" s="6" t="inlineStr">
        <is>
          <t>Dylan Fraser</t>
        </is>
      </c>
      <c r="D121" s="7" t="n">
        <v>0.25</v>
      </c>
      <c r="E121" s="7" t="n">
        <v>0.5625</v>
      </c>
      <c r="F121" s="6" t="n">
        <v>30</v>
      </c>
      <c r="G121" t="str">
        <f>IF(COUNTIF(Holidays,A121)&gt;0,"Public holiday",IF(WEEKDAY(A121,2)=7,"Sunday",IF(WEEKDAY(A121,2)=6,"Saturday","Weekday")))</f>
        <v>Weekday</v>
      </c>
      <c r="H121" s="8">
        <f>IF(OR(D121="",E121=""),0,ROUND(MOD(E121-D121,1)*24-F121/60,2))</f>
        <v>7</v>
      </c>
      <c r="I121" s="8">
        <f>IF(OR(G121="Sunday",G121="Public holiday"),0,H121)</f>
        <v>7</v>
      </c>
      <c r="J121" s="8">
        <f>SUMIFS($I$2:$I$149,$C$2:$C$149,C121,$B$2:$B$149,B121,$A$2:$A$149,"&lt;"&amp;A121)</f>
        <v>0</v>
      </c>
      <c r="K121" s="8">
        <f>MAX(0,MIN(I121,OrdHours-J121))</f>
        <v>7</v>
      </c>
      <c r="L121" s="8">
        <f>I121-K121</f>
        <v>0</v>
      </c>
      <c r="M121" s="8">
        <f>IF(G121="Sunday",H121,0)</f>
        <v>0</v>
      </c>
      <c r="N121" s="8">
        <f>IF(G121="Public holiday",H121,0)</f>
        <v>0</v>
      </c>
      <c r="O121" s="9">
        <f>INDEX(StaffRates,MATCH(C121,StaffNames,0))</f>
        <v>29.6</v>
      </c>
      <c r="P121" s="9">
        <f>ROUND(O121*(K121*IF(G121="Saturday",SatRate,1)+L121*OTRate+M121*SunRate+N121*PHRate),2)</f>
        <v>207.2</v>
      </c>
      <c r="Q121" s="9">
        <f>ROUND(O121*L121*OTRate,2)</f>
        <v>0</v>
      </c>
      <c r="R121">
        <f>TRIM(IF(E121="","No finish time ","")&amp;IF(H121&gt;MaxShift,"Shift over limit ","")&amp;IF(AND(H121&gt;5,F121&lt;MinBreak),"Short break ",""))</f>
      </c>
    </row>
    <row r="122">
      <c r="A122" s="4" t="n">
        <v>46343</v>
      </c>
      <c r="B122" s="5">
        <f>A122-WEEKDAY(A122,3)</f>
        <v>46342.0</v>
      </c>
      <c r="C122" s="6" t="inlineStr">
        <is>
          <t>Esme Rowe</t>
        </is>
      </c>
      <c r="D122" s="7" t="n">
        <v>0.3020833333333333</v>
      </c>
      <c r="E122" s="7" t="n">
        <v>0.46875</v>
      </c>
      <c r="F122" s="6" t="n">
        <v>0</v>
      </c>
      <c r="G122" t="str">
        <f>IF(COUNTIF(Holidays,A122)&gt;0,"Public holiday",IF(WEEKDAY(A122,2)=7,"Sunday",IF(WEEKDAY(A122,2)=6,"Saturday","Weekday")))</f>
        <v>Weekday</v>
      </c>
      <c r="H122" s="8">
        <f>IF(OR(D122="",E122=""),0,ROUND(MOD(E122-D122,1)*24-F122/60,2))</f>
        <v>4</v>
      </c>
      <c r="I122" s="8">
        <f>IF(OR(G122="Sunday",G122="Public holiday"),0,H122)</f>
        <v>4</v>
      </c>
      <c r="J122" s="8">
        <f>SUMIFS($I$2:$I$149,$C$2:$C$149,C122,$B$2:$B$149,B122,$A$2:$A$149,"&lt;"&amp;A122)</f>
        <v>4</v>
      </c>
      <c r="K122" s="8">
        <f>MAX(0,MIN(I122,OrdHours-J122))</f>
        <v>4</v>
      </c>
      <c r="L122" s="8">
        <f>I122-K122</f>
        <v>0</v>
      </c>
      <c r="M122" s="8">
        <f>IF(G122="Sunday",H122,0)</f>
        <v>0</v>
      </c>
      <c r="N122" s="8">
        <f>IF(G122="Public holiday",H122,0)</f>
        <v>0</v>
      </c>
      <c r="O122" s="9">
        <f>INDEX(StaffRates,MATCH(C122,StaffNames,0))</f>
        <v>27.9</v>
      </c>
      <c r="P122" s="9">
        <f>ROUND(O122*(K122*IF(G122="Saturday",SatRate,1)+L122*OTRate+M122*SunRate+N122*PHRate),2)</f>
        <v>111.6</v>
      </c>
      <c r="Q122" s="9">
        <f>ROUND(O122*L122*OTRate,2)</f>
        <v>0</v>
      </c>
      <c r="R122">
        <f>TRIM(IF(E122="","No finish time ","")&amp;IF(H122&gt;MaxShift,"Shift over limit ","")&amp;IF(AND(H122&gt;5,F122&lt;MinBreak),"Short break ",""))</f>
      </c>
    </row>
    <row r="123">
      <c r="A123" s="4" t="n">
        <v>46343</v>
      </c>
      <c r="B123" s="5">
        <f>A123-WEEKDAY(A123,3)</f>
        <v>46342.0</v>
      </c>
      <c r="C123" s="6" t="inlineStr">
        <is>
          <t>Gia Marchant</t>
        </is>
      </c>
      <c r="D123" s="7" t="n">
        <v>0.3333333333333333</v>
      </c>
      <c r="E123" s="7" t="n">
        <v>0.6458333333333334</v>
      </c>
      <c r="F123" s="6" t="n">
        <v>30</v>
      </c>
      <c r="G123" t="str">
        <f>IF(COUNTIF(Holidays,A123)&gt;0,"Public holiday",IF(WEEKDAY(A123,2)=7,"Sunday",IF(WEEKDAY(A123,2)=6,"Saturday","Weekday")))</f>
        <v>Weekday</v>
      </c>
      <c r="H123" s="8">
        <f>IF(OR(D123="",E123=""),0,ROUND(MOD(E123-D123,1)*24-F123/60,2))</f>
        <v>7</v>
      </c>
      <c r="I123" s="8">
        <f>IF(OR(G123="Sunday",G123="Public holiday"),0,H123)</f>
        <v>7</v>
      </c>
      <c r="J123" s="8">
        <f>SUMIFS($I$2:$I$149,$C$2:$C$149,C123,$B$2:$B$149,B123,$A$2:$A$149,"&lt;"&amp;A123)</f>
        <v>4.75</v>
      </c>
      <c r="K123" s="8">
        <f>MAX(0,MIN(I123,OrdHours-J123))</f>
        <v>7</v>
      </c>
      <c r="L123" s="8">
        <f>I123-K123</f>
        <v>0</v>
      </c>
      <c r="M123" s="8">
        <f>IF(G123="Sunday",H123,0)</f>
        <v>0</v>
      </c>
      <c r="N123" s="8">
        <f>IF(G123="Public holiday",H123,0)</f>
        <v>0</v>
      </c>
      <c r="O123" s="9">
        <f>INDEX(StaffRates,MATCH(C123,StaffNames,0))</f>
        <v>29.6</v>
      </c>
      <c r="P123" s="9">
        <f>ROUND(O123*(K123*IF(G123="Saturday",SatRate,1)+L123*OTRate+M123*SunRate+N123*PHRate),2)</f>
        <v>207.2</v>
      </c>
      <c r="Q123" s="9">
        <f>ROUND(O123*L123*OTRate,2)</f>
        <v>0</v>
      </c>
      <c r="R123">
        <f>TRIM(IF(E123="","No finish time ","")&amp;IF(H123&gt;MaxShift,"Shift over limit ","")&amp;IF(AND(H123&gt;5,F123&lt;MinBreak),"Short break ",""))</f>
      </c>
    </row>
    <row r="124">
      <c r="A124" s="4" t="n">
        <v>46344</v>
      </c>
      <c r="B124" s="5">
        <f>A124-WEEKDAY(A124,3)</f>
        <v>46342.0</v>
      </c>
      <c r="C124" s="6" t="inlineStr">
        <is>
          <t>Ava Kingsley</t>
        </is>
      </c>
      <c r="D124" s="7" t="n">
        <v>0.25</v>
      </c>
      <c r="E124" s="7" t="n">
        <v>0.6041666666666666</v>
      </c>
      <c r="F124" s="6" t="n">
        <v>30</v>
      </c>
      <c r="G124" t="str">
        <f>IF(COUNTIF(Holidays,A124)&gt;0,"Public holiday",IF(WEEKDAY(A124,2)=7,"Sunday",IF(WEEKDAY(A124,2)=6,"Saturday","Weekday")))</f>
        <v>Weekday</v>
      </c>
      <c r="H124" s="8">
        <f>IF(OR(D124="",E124=""),0,ROUND(MOD(E124-D124,1)*24-F124/60,2))</f>
        <v>8</v>
      </c>
      <c r="I124" s="8">
        <f>IF(OR(G124="Sunday",G124="Public holiday"),0,H124)</f>
        <v>8</v>
      </c>
      <c r="J124" s="8">
        <f>SUMIFS($I$2:$I$149,$C$2:$C$149,C124,$B$2:$B$149,B124,$A$2:$A$149,"&lt;"&amp;A124)</f>
        <v>9</v>
      </c>
      <c r="K124" s="8">
        <f>MAX(0,MIN(I124,OrdHours-J124))</f>
        <v>8</v>
      </c>
      <c r="L124" s="8">
        <f>I124-K124</f>
        <v>0</v>
      </c>
      <c r="M124" s="8">
        <f>IF(G124="Sunday",H124,0)</f>
        <v>0</v>
      </c>
      <c r="N124" s="8">
        <f>IF(G124="Public holiday",H124,0)</f>
        <v>0</v>
      </c>
      <c r="O124" s="9">
        <f>INDEX(StaffRates,MATCH(C124,StaffNames,0))</f>
        <v>34.8</v>
      </c>
      <c r="P124" s="9">
        <f>ROUND(O124*(K124*IF(G124="Saturday",SatRate,1)+L124*OTRate+M124*SunRate+N124*PHRate),2)</f>
        <v>278.4</v>
      </c>
      <c r="Q124" s="9">
        <f>ROUND(O124*L124*OTRate,2)</f>
        <v>0</v>
      </c>
      <c r="R124">
        <f>TRIM(IF(E124="","No finish time ","")&amp;IF(H124&gt;MaxShift,"Shift over limit ","")&amp;IF(AND(H124&gt;5,F124&lt;MinBreak),"Short break ",""))</f>
      </c>
    </row>
    <row r="125">
      <c r="A125" s="4" t="n">
        <v>46344</v>
      </c>
      <c r="B125" s="5">
        <f>A125-WEEKDAY(A125,3)</f>
        <v>46342.0</v>
      </c>
      <c r="C125" s="6" t="inlineStr">
        <is>
          <t>Ben Okafor</t>
        </is>
      </c>
      <c r="D125" s="7" t="n">
        <v>0.1875</v>
      </c>
      <c r="E125" s="7" t="n">
        <v>0.5833333333333334</v>
      </c>
      <c r="F125" s="6" t="n">
        <v>30</v>
      </c>
      <c r="G125" t="str">
        <f>IF(COUNTIF(Holidays,A125)&gt;0,"Public holiday",IF(WEEKDAY(A125,2)=7,"Sunday",IF(WEEKDAY(A125,2)=6,"Saturday","Weekday")))</f>
        <v>Weekday</v>
      </c>
      <c r="H125" s="8">
        <f>IF(OR(D125="",E125=""),0,ROUND(MOD(E125-D125,1)*24-F125/60,2))</f>
        <v>9</v>
      </c>
      <c r="I125" s="8">
        <f>IF(OR(G125="Sunday",G125="Public holiday"),0,H125)</f>
        <v>9</v>
      </c>
      <c r="J125" s="8">
        <f>SUMIFS($I$2:$I$149,$C$2:$C$149,C125,$B$2:$B$149,B125,$A$2:$A$149,"&lt;"&amp;A125)</f>
        <v>17</v>
      </c>
      <c r="K125" s="8">
        <f>MAX(0,MIN(I125,OrdHours-J125))</f>
        <v>9</v>
      </c>
      <c r="L125" s="8">
        <f>I125-K125</f>
        <v>0</v>
      </c>
      <c r="M125" s="8">
        <f>IF(G125="Sunday",H125,0)</f>
        <v>0</v>
      </c>
      <c r="N125" s="8">
        <f>IF(G125="Public holiday",H125,0)</f>
        <v>0</v>
      </c>
      <c r="O125" s="9">
        <f>INDEX(StaffRates,MATCH(C125,StaffNames,0))</f>
        <v>33.1</v>
      </c>
      <c r="P125" s="9">
        <f>ROUND(O125*(K125*IF(G125="Saturday",SatRate,1)+L125*OTRate+M125*SunRate+N125*PHRate),2)</f>
        <v>297.9</v>
      </c>
      <c r="Q125" s="9">
        <f>ROUND(O125*L125*OTRate,2)</f>
        <v>0</v>
      </c>
      <c r="R125">
        <f>TRIM(IF(E125="","No finish time ","")&amp;IF(H125&gt;MaxShift,"Shift over limit ","")&amp;IF(AND(H125&gt;5,F125&lt;MinBreak),"Short break ",""))</f>
      </c>
    </row>
    <row r="126">
      <c r="A126" s="4" t="n">
        <v>46344</v>
      </c>
      <c r="B126" s="5">
        <f>A126-WEEKDAY(A126,3)</f>
        <v>46342.0</v>
      </c>
      <c r="C126" s="6" t="inlineStr">
        <is>
          <t>Cara Delmonte</t>
        </is>
      </c>
      <c r="D126" s="7" t="n">
        <v>0.2083333333333333</v>
      </c>
      <c r="E126" s="7" t="n">
        <v>0.625</v>
      </c>
      <c r="F126" s="6" t="n">
        <v>30</v>
      </c>
      <c r="G126" t="str">
        <f>IF(COUNTIF(Holidays,A126)&gt;0,"Public holiday",IF(WEEKDAY(A126,2)=7,"Sunday",IF(WEEKDAY(A126,2)=6,"Saturday","Weekday")))</f>
        <v>Weekday</v>
      </c>
      <c r="H126" s="8">
        <f>IF(OR(D126="",E126=""),0,ROUND(MOD(E126-D126,1)*24-F126/60,2))</f>
        <v>9.5</v>
      </c>
      <c r="I126" s="8">
        <f>IF(OR(G126="Sunday",G126="Public holiday"),0,H126)</f>
        <v>9.5</v>
      </c>
      <c r="J126" s="8">
        <f>SUMIFS($I$2:$I$149,$C$2:$C$149,C126,$B$2:$B$149,B126,$A$2:$A$149,"&lt;"&amp;A126)</f>
        <v>17</v>
      </c>
      <c r="K126" s="8">
        <f>MAX(0,MIN(I126,OrdHours-J126))</f>
        <v>9.5</v>
      </c>
      <c r="L126" s="8">
        <f>I126-K126</f>
        <v>0</v>
      </c>
      <c r="M126" s="8">
        <f>IF(G126="Sunday",H126,0)</f>
        <v>0</v>
      </c>
      <c r="N126" s="8">
        <f>IF(G126="Public holiday",H126,0)</f>
        <v>0</v>
      </c>
      <c r="O126" s="9">
        <f>INDEX(StaffRates,MATCH(C126,StaffNames,0))</f>
        <v>36.2</v>
      </c>
      <c r="P126" s="9">
        <f>ROUND(O126*(K126*IF(G126="Saturday",SatRate,1)+L126*OTRate+M126*SunRate+N126*PHRate),2)</f>
        <v>343.9</v>
      </c>
      <c r="Q126" s="9">
        <f>ROUND(O126*L126*OTRate,2)</f>
        <v>0</v>
      </c>
      <c r="R126">
        <f>TRIM(IF(E126="","No finish time ","")&amp;IF(H126&gt;MaxShift,"Shift over limit ","")&amp;IF(AND(H126&gt;5,F126&lt;MinBreak),"Short break ",""))</f>
      </c>
    </row>
    <row r="127">
      <c r="A127" s="4" t="n">
        <v>46344</v>
      </c>
      <c r="B127" s="5">
        <f>A127-WEEKDAY(A127,3)</f>
        <v>46342.0</v>
      </c>
      <c r="C127" s="6" t="inlineStr">
        <is>
          <t>Dylan Fraser</t>
        </is>
      </c>
      <c r="D127" s="7" t="n">
        <v>0.2916666666666667</v>
      </c>
      <c r="E127" s="7" t="n">
        <v>0.6458333333333334</v>
      </c>
      <c r="F127" s="6" t="n">
        <v>30</v>
      </c>
      <c r="G127" t="str">
        <f>IF(COUNTIF(Holidays,A127)&gt;0,"Public holiday",IF(WEEKDAY(A127,2)=7,"Sunday",IF(WEEKDAY(A127,2)=6,"Saturday","Weekday")))</f>
        <v>Weekday</v>
      </c>
      <c r="H127" s="8">
        <f>IF(OR(D127="",E127=""),0,ROUND(MOD(E127-D127,1)*24-F127/60,2))</f>
        <v>8</v>
      </c>
      <c r="I127" s="8">
        <f>IF(OR(G127="Sunday",G127="Public holiday"),0,H127)</f>
        <v>8</v>
      </c>
      <c r="J127" s="8">
        <f>SUMIFS($I$2:$I$149,$C$2:$C$149,C127,$B$2:$B$149,B127,$A$2:$A$149,"&lt;"&amp;A127)</f>
        <v>7</v>
      </c>
      <c r="K127" s="8">
        <f>MAX(0,MIN(I127,OrdHours-J127))</f>
        <v>8</v>
      </c>
      <c r="L127" s="8">
        <f>I127-K127</f>
        <v>0</v>
      </c>
      <c r="M127" s="8">
        <f>IF(G127="Sunday",H127,0)</f>
        <v>0</v>
      </c>
      <c r="N127" s="8">
        <f>IF(G127="Public holiday",H127,0)</f>
        <v>0</v>
      </c>
      <c r="O127" s="9">
        <f>INDEX(StaffRates,MATCH(C127,StaffNames,0))</f>
        <v>29.6</v>
      </c>
      <c r="P127" s="9">
        <f>ROUND(O127*(K127*IF(G127="Saturday",SatRate,1)+L127*OTRate+M127*SunRate+N127*PHRate),2)</f>
        <v>236.8</v>
      </c>
      <c r="Q127" s="9">
        <f>ROUND(O127*L127*OTRate,2)</f>
        <v>0</v>
      </c>
      <c r="R127">
        <f>TRIM(IF(E127="","No finish time ","")&amp;IF(H127&gt;MaxShift,"Shift over limit ","")&amp;IF(AND(H127&gt;5,F127&lt;MinBreak),"Short break ",""))</f>
      </c>
    </row>
    <row r="128">
      <c r="A128" s="4" t="n">
        <v>46344</v>
      </c>
      <c r="B128" s="5">
        <f>A128-WEEKDAY(A128,3)</f>
        <v>46342.0</v>
      </c>
      <c r="C128" s="6" t="inlineStr">
        <is>
          <t>Felix Nguyen</t>
        </is>
      </c>
      <c r="D128" s="7" t="n">
        <v>0.4583333333333333</v>
      </c>
      <c r="E128" s="7" t="n">
        <v>0.7083333333333334</v>
      </c>
      <c r="F128" s="6" t="n">
        <v>30</v>
      </c>
      <c r="G128" t="str">
        <f>IF(COUNTIF(Holidays,A128)&gt;0,"Public holiday",IF(WEEKDAY(A128,2)=7,"Sunday",IF(WEEKDAY(A128,2)=6,"Saturday","Weekday")))</f>
        <v>Weekday</v>
      </c>
      <c r="H128" s="8">
        <f>IF(OR(D128="",E128=""),0,ROUND(MOD(E128-D128,1)*24-F128/60,2))</f>
        <v>5.5</v>
      </c>
      <c r="I128" s="8">
        <f>IF(OR(G128="Sunday",G128="Public holiday"),0,H128)</f>
        <v>5.5</v>
      </c>
      <c r="J128" s="8">
        <f>SUMIFS($I$2:$I$149,$C$2:$C$149,C128,$B$2:$B$149,B128,$A$2:$A$149,"&lt;"&amp;A128)</f>
        <v>7.5</v>
      </c>
      <c r="K128" s="8">
        <f>MAX(0,MIN(I128,OrdHours-J128))</f>
        <v>5.5</v>
      </c>
      <c r="L128" s="8">
        <f>I128-K128</f>
        <v>0</v>
      </c>
      <c r="M128" s="8">
        <f>IF(G128="Sunday",H128,0)</f>
        <v>0</v>
      </c>
      <c r="N128" s="8">
        <f>IF(G128="Public holiday",H128,0)</f>
        <v>0</v>
      </c>
      <c r="O128" s="9">
        <f>INDEX(StaffRates,MATCH(C128,StaffNames,0))</f>
        <v>27.9</v>
      </c>
      <c r="P128" s="9">
        <f>ROUND(O128*(K128*IF(G128="Saturday",SatRate,1)+L128*OTRate+M128*SunRate+N128*PHRate),2)</f>
        <v>153.45</v>
      </c>
      <c r="Q128" s="9">
        <f>ROUND(O128*L128*OTRate,2)</f>
        <v>0</v>
      </c>
      <c r="R128">
        <f>TRIM(IF(E128="","No finish time ","")&amp;IF(H128&gt;MaxShift,"Shift over limit ","")&amp;IF(AND(H128&gt;5,F128&lt;MinBreak),"Short break ",""))</f>
      </c>
    </row>
    <row r="129">
      <c r="A129" s="4" t="n">
        <v>46344</v>
      </c>
      <c r="B129" s="5">
        <f>A129-WEEKDAY(A129,3)</f>
        <v>46342.0</v>
      </c>
      <c r="C129" s="6" t="inlineStr">
        <is>
          <t>Hugo Brandt</t>
        </is>
      </c>
      <c r="D129" s="7" t="n">
        <v>0.9166666666666666</v>
      </c>
      <c r="E129" s="7" t="n">
        <v>0.125</v>
      </c>
      <c r="F129" s="6" t="n">
        <v>0</v>
      </c>
      <c r="G129" t="str">
        <f>IF(COUNTIF(Holidays,A129)&gt;0,"Public holiday",IF(WEEKDAY(A129,2)=7,"Sunday",IF(WEEKDAY(A129,2)=6,"Saturday","Weekday")))</f>
        <v>Weekday</v>
      </c>
      <c r="H129" s="8">
        <f>IF(OR(D129="",E129=""),0,ROUND(MOD(E129-D129,1)*24-F129/60,2))</f>
        <v>5</v>
      </c>
      <c r="I129" s="8">
        <f>IF(OR(G129="Sunday",G129="Public holiday"),0,H129)</f>
        <v>5</v>
      </c>
      <c r="J129" s="8">
        <f>SUMIFS($I$2:$I$149,$C$2:$C$149,C129,$B$2:$B$149,B129,$A$2:$A$149,"&lt;"&amp;A129)</f>
        <v>0</v>
      </c>
      <c r="K129" s="8">
        <f>MAX(0,MIN(I129,OrdHours-J129))</f>
        <v>5</v>
      </c>
      <c r="L129" s="8">
        <f>I129-K129</f>
        <v>0</v>
      </c>
      <c r="M129" s="8">
        <f>IF(G129="Sunday",H129,0)</f>
        <v>0</v>
      </c>
      <c r="N129" s="8">
        <f>IF(G129="Public holiday",H129,0)</f>
        <v>0</v>
      </c>
      <c r="O129" s="9">
        <f>INDEX(StaffRates,MATCH(C129,StaffNames,0))</f>
        <v>35.4</v>
      </c>
      <c r="P129" s="9">
        <f>ROUND(O129*(K129*IF(G129="Saturday",SatRate,1)+L129*OTRate+M129*SunRate+N129*PHRate),2)</f>
        <v>177</v>
      </c>
      <c r="Q129" s="9">
        <f>ROUND(O129*L129*OTRate,2)</f>
        <v>0</v>
      </c>
      <c r="R129">
        <f>TRIM(IF(E129="","No finish time ","")&amp;IF(H129&gt;MaxShift,"Shift over limit ","")&amp;IF(AND(H129&gt;5,F129&lt;MinBreak),"Short break ",""))</f>
      </c>
    </row>
    <row r="130">
      <c r="A130" s="4" t="n">
        <v>46345</v>
      </c>
      <c r="B130" s="5">
        <f>A130-WEEKDAY(A130,3)</f>
        <v>46342.0</v>
      </c>
      <c r="C130" s="6" t="inlineStr">
        <is>
          <t>Ben Okafor</t>
        </is>
      </c>
      <c r="D130" s="7" t="n">
        <v>0.1458333333333333</v>
      </c>
      <c r="E130" s="7" t="n">
        <v>0.5416666666666666</v>
      </c>
      <c r="F130" s="6" t="n">
        <v>30</v>
      </c>
      <c r="G130" t="str">
        <f>IF(COUNTIF(Holidays,A130)&gt;0,"Public holiday",IF(WEEKDAY(A130,2)=7,"Sunday",IF(WEEKDAY(A130,2)=6,"Saturday","Weekday")))</f>
        <v>Weekday</v>
      </c>
      <c r="H130" s="8">
        <f>IF(OR(D130="",E130=""),0,ROUND(MOD(E130-D130,1)*24-F130/60,2))</f>
        <v>9</v>
      </c>
      <c r="I130" s="8">
        <f>IF(OR(G130="Sunday",G130="Public holiday"),0,H130)</f>
        <v>9</v>
      </c>
      <c r="J130" s="8">
        <f>SUMIFS($I$2:$I$149,$C$2:$C$149,C130,$B$2:$B$149,B130,$A$2:$A$149,"&lt;"&amp;A130)</f>
        <v>26</v>
      </c>
      <c r="K130" s="8">
        <f>MAX(0,MIN(I130,OrdHours-J130))</f>
        <v>9</v>
      </c>
      <c r="L130" s="8">
        <f>I130-K130</f>
        <v>0</v>
      </c>
      <c r="M130" s="8">
        <f>IF(G130="Sunday",H130,0)</f>
        <v>0</v>
      </c>
      <c r="N130" s="8">
        <f>IF(G130="Public holiday",H130,0)</f>
        <v>0</v>
      </c>
      <c r="O130" s="9">
        <f>INDEX(StaffRates,MATCH(C130,StaffNames,0))</f>
        <v>33.1</v>
      </c>
      <c r="P130" s="9">
        <f>ROUND(O130*(K130*IF(G130="Saturday",SatRate,1)+L130*OTRate+M130*SunRate+N130*PHRate),2)</f>
        <v>297.9</v>
      </c>
      <c r="Q130" s="9">
        <f>ROUND(O130*L130*OTRate,2)</f>
        <v>0</v>
      </c>
      <c r="R130">
        <f>TRIM(IF(E130="","No finish time ","")&amp;IF(H130&gt;MaxShift,"Shift over limit ","")&amp;IF(AND(H130&gt;5,F130&lt;MinBreak),"Short break ",""))</f>
      </c>
    </row>
    <row r="131">
      <c r="A131" s="4" t="n">
        <v>46345</v>
      </c>
      <c r="B131" s="5">
        <f>A131-WEEKDAY(A131,3)</f>
        <v>46342.0</v>
      </c>
      <c r="C131" s="6" t="inlineStr">
        <is>
          <t>Cara Delmonte</t>
        </is>
      </c>
      <c r="D131" s="7" t="n">
        <v>0.21875</v>
      </c>
      <c r="E131" s="7" t="n">
        <v>0.5729166666666666</v>
      </c>
      <c r="F131" s="6" t="n">
        <v>30</v>
      </c>
      <c r="G131" t="str">
        <f>IF(COUNTIF(Holidays,A131)&gt;0,"Public holiday",IF(WEEKDAY(A131,2)=7,"Sunday",IF(WEEKDAY(A131,2)=6,"Saturday","Weekday")))</f>
        <v>Weekday</v>
      </c>
      <c r="H131" s="8">
        <f>IF(OR(D131="",E131=""),0,ROUND(MOD(E131-D131,1)*24-F131/60,2))</f>
        <v>8</v>
      </c>
      <c r="I131" s="8">
        <f>IF(OR(G131="Sunday",G131="Public holiday"),0,H131)</f>
        <v>8</v>
      </c>
      <c r="J131" s="8">
        <f>SUMIFS($I$2:$I$149,$C$2:$C$149,C131,$B$2:$B$149,B131,$A$2:$A$149,"&lt;"&amp;A131)</f>
        <v>26.5</v>
      </c>
      <c r="K131" s="8">
        <f>MAX(0,MIN(I131,OrdHours-J131))</f>
        <v>8</v>
      </c>
      <c r="L131" s="8">
        <f>I131-K131</f>
        <v>0</v>
      </c>
      <c r="M131" s="8">
        <f>IF(G131="Sunday",H131,0)</f>
        <v>0</v>
      </c>
      <c r="N131" s="8">
        <f>IF(G131="Public holiday",H131,0)</f>
        <v>0</v>
      </c>
      <c r="O131" s="9">
        <f>INDEX(StaffRates,MATCH(C131,StaffNames,0))</f>
        <v>36.2</v>
      </c>
      <c r="P131" s="9">
        <f>ROUND(O131*(K131*IF(G131="Saturday",SatRate,1)+L131*OTRate+M131*SunRate+N131*PHRate),2)</f>
        <v>289.6</v>
      </c>
      <c r="Q131" s="9">
        <f>ROUND(O131*L131*OTRate,2)</f>
        <v>0</v>
      </c>
      <c r="R131">
        <f>TRIM(IF(E131="","No finish time ","")&amp;IF(H131&gt;MaxShift,"Shift over limit ","")&amp;IF(AND(H131&gt;5,F131&lt;MinBreak),"Short break ",""))</f>
      </c>
    </row>
    <row r="132">
      <c r="A132" s="4" t="n">
        <v>46345</v>
      </c>
      <c r="B132" s="5">
        <f>A132-WEEKDAY(A132,3)</f>
        <v>46342.0</v>
      </c>
      <c r="C132" s="6" t="inlineStr">
        <is>
          <t>Dylan Fraser</t>
        </is>
      </c>
      <c r="D132" s="7" t="n">
        <v>0.2916666666666667</v>
      </c>
      <c r="E132" s="7" t="n">
        <v>0.6666666666666666</v>
      </c>
      <c r="F132" s="6" t="n">
        <v>30</v>
      </c>
      <c r="G132" t="str">
        <f>IF(COUNTIF(Holidays,A132)&gt;0,"Public holiday",IF(WEEKDAY(A132,2)=7,"Sunday",IF(WEEKDAY(A132,2)=6,"Saturday","Weekday")))</f>
        <v>Weekday</v>
      </c>
      <c r="H132" s="8">
        <f>IF(OR(D132="",E132=""),0,ROUND(MOD(E132-D132,1)*24-F132/60,2))</f>
        <v>8.5</v>
      </c>
      <c r="I132" s="8">
        <f>IF(OR(G132="Sunday",G132="Public holiday"),0,H132)</f>
        <v>8.5</v>
      </c>
      <c r="J132" s="8">
        <f>SUMIFS($I$2:$I$149,$C$2:$C$149,C132,$B$2:$B$149,B132,$A$2:$A$149,"&lt;"&amp;A132)</f>
        <v>15</v>
      </c>
      <c r="K132" s="8">
        <f>MAX(0,MIN(I132,OrdHours-J132))</f>
        <v>8.5</v>
      </c>
      <c r="L132" s="8">
        <f>I132-K132</f>
        <v>0</v>
      </c>
      <c r="M132" s="8">
        <f>IF(G132="Sunday",H132,0)</f>
        <v>0</v>
      </c>
      <c r="N132" s="8">
        <f>IF(G132="Public holiday",H132,0)</f>
        <v>0</v>
      </c>
      <c r="O132" s="9">
        <f>INDEX(StaffRates,MATCH(C132,StaffNames,0))</f>
        <v>29.6</v>
      </c>
      <c r="P132" s="9">
        <f>ROUND(O132*(K132*IF(G132="Saturday",SatRate,1)+L132*OTRate+M132*SunRate+N132*PHRate),2)</f>
        <v>251.6</v>
      </c>
      <c r="Q132" s="9">
        <f>ROUND(O132*L132*OTRate,2)</f>
        <v>0</v>
      </c>
      <c r="R132">
        <f>TRIM(IF(E132="","No finish time ","")&amp;IF(H132&gt;MaxShift,"Shift over limit ","")&amp;IF(AND(H132&gt;5,F132&lt;MinBreak),"Short break ",""))</f>
      </c>
    </row>
    <row r="133">
      <c r="A133" s="4" t="n">
        <v>46345</v>
      </c>
      <c r="B133" s="5">
        <f>A133-WEEKDAY(A133,3)</f>
        <v>46342.0</v>
      </c>
      <c r="C133" s="6" t="inlineStr">
        <is>
          <t>Felix Nguyen</t>
        </is>
      </c>
      <c r="D133" s="7" t="n">
        <v>0.4791666666666667</v>
      </c>
      <c r="E133" s="7" t="n">
        <v>0.7958333333333333</v>
      </c>
      <c r="F133" s="6" t="n">
        <v>15</v>
      </c>
      <c r="G133" t="str">
        <f>IF(COUNTIF(Holidays,A133)&gt;0,"Public holiday",IF(WEEKDAY(A133,2)=7,"Sunday",IF(WEEKDAY(A133,2)=6,"Saturday","Weekday")))</f>
        <v>Weekday</v>
      </c>
      <c r="H133" s="8">
        <f>IF(OR(D133="",E133=""),0,ROUND(MOD(E133-D133,1)*24-F133/60,2))</f>
        <v>7.35</v>
      </c>
      <c r="I133" s="8">
        <f>IF(OR(G133="Sunday",G133="Public holiday"),0,H133)</f>
        <v>7.35</v>
      </c>
      <c r="J133" s="8">
        <f>SUMIFS($I$2:$I$149,$C$2:$C$149,C133,$B$2:$B$149,B133,$A$2:$A$149,"&lt;"&amp;A133)</f>
        <v>13</v>
      </c>
      <c r="K133" s="8">
        <f>MAX(0,MIN(I133,OrdHours-J133))</f>
        <v>7.35</v>
      </c>
      <c r="L133" s="8">
        <f>I133-K133</f>
        <v>0</v>
      </c>
      <c r="M133" s="8">
        <f>IF(G133="Sunday",H133,0)</f>
        <v>0</v>
      </c>
      <c r="N133" s="8">
        <f>IF(G133="Public holiday",H133,0)</f>
        <v>0</v>
      </c>
      <c r="O133" s="9">
        <f>INDEX(StaffRates,MATCH(C133,StaffNames,0))</f>
        <v>27.9</v>
      </c>
      <c r="P133" s="9">
        <f>ROUND(O133*(K133*IF(G133="Saturday",SatRate,1)+L133*OTRate+M133*SunRate+N133*PHRate),2)</f>
        <v>205.07</v>
      </c>
      <c r="Q133" s="9">
        <f>ROUND(O133*L133*OTRate,2)</f>
        <v>0</v>
      </c>
      <c r="R133" t="str">
        <f>TRIM(IF(E133="","No finish time ","")&amp;IF(H133&gt;MaxShift,"Shift over limit ","")&amp;IF(AND(H133&gt;5,F133&lt;MinBreak),"Short break ",""))</f>
        <v>Short break</v>
      </c>
    </row>
    <row r="134">
      <c r="A134" s="4" t="n">
        <v>46346</v>
      </c>
      <c r="B134" s="5">
        <f>A134-WEEKDAY(A134,3)</f>
        <v>46342.0</v>
      </c>
      <c r="C134" s="6" t="inlineStr">
        <is>
          <t>Ava Kingsley</t>
        </is>
      </c>
      <c r="D134" s="7" t="n">
        <v>0.2708333333333333</v>
      </c>
      <c r="E134" s="7" t="n">
        <v>0.6875</v>
      </c>
      <c r="F134" s="6" t="n">
        <v>30</v>
      </c>
      <c r="G134" t="str">
        <f>IF(COUNTIF(Holidays,A134)&gt;0,"Public holiday",IF(WEEKDAY(A134,2)=7,"Sunday",IF(WEEKDAY(A134,2)=6,"Saturday","Weekday")))</f>
        <v>Weekday</v>
      </c>
      <c r="H134" s="8">
        <f>IF(OR(D134="",E134=""),0,ROUND(MOD(E134-D134,1)*24-F134/60,2))</f>
        <v>9.5</v>
      </c>
      <c r="I134" s="8">
        <f>IF(OR(G134="Sunday",G134="Public holiday"),0,H134)</f>
        <v>9.5</v>
      </c>
      <c r="J134" s="8">
        <f>SUMIFS($I$2:$I$149,$C$2:$C$149,C134,$B$2:$B$149,B134,$A$2:$A$149,"&lt;"&amp;A134)</f>
        <v>17</v>
      </c>
      <c r="K134" s="8">
        <f>MAX(0,MIN(I134,OrdHours-J134))</f>
        <v>9.5</v>
      </c>
      <c r="L134" s="8">
        <f>I134-K134</f>
        <v>0</v>
      </c>
      <c r="M134" s="8">
        <f>IF(G134="Sunday",H134,0)</f>
        <v>0</v>
      </c>
      <c r="N134" s="8">
        <f>IF(G134="Public holiday",H134,0)</f>
        <v>0</v>
      </c>
      <c r="O134" s="9">
        <f>INDEX(StaffRates,MATCH(C134,StaffNames,0))</f>
        <v>34.8</v>
      </c>
      <c r="P134" s="9">
        <f>ROUND(O134*(K134*IF(G134="Saturday",SatRate,1)+L134*OTRate+M134*SunRate+N134*PHRate),2)</f>
        <v>330.6</v>
      </c>
      <c r="Q134" s="9">
        <f>ROUND(O134*L134*OTRate,2)</f>
        <v>0</v>
      </c>
      <c r="R134">
        <f>TRIM(IF(E134="","No finish time ","")&amp;IF(H134&gt;MaxShift,"Shift over limit ","")&amp;IF(AND(H134&gt;5,F134&lt;MinBreak),"Short break ",""))</f>
      </c>
    </row>
    <row r="135">
      <c r="A135" s="4" t="n">
        <v>46346</v>
      </c>
      <c r="B135" s="5">
        <f>A135-WEEKDAY(A135,3)</f>
        <v>46342.0</v>
      </c>
      <c r="C135" s="6" t="inlineStr">
        <is>
          <t>Ben Okafor</t>
        </is>
      </c>
      <c r="D135" s="7" t="n">
        <v>0.1458333333333333</v>
      </c>
      <c r="E135" s="7" t="n">
        <v>0.5416666666666666</v>
      </c>
      <c r="F135" s="6" t="n">
        <v>30</v>
      </c>
      <c r="G135" t="str">
        <f>IF(COUNTIF(Holidays,A135)&gt;0,"Public holiday",IF(WEEKDAY(A135,2)=7,"Sunday",IF(WEEKDAY(A135,2)=6,"Saturday","Weekday")))</f>
        <v>Weekday</v>
      </c>
      <c r="H135" s="8">
        <f>IF(OR(D135="",E135=""),0,ROUND(MOD(E135-D135,1)*24-F135/60,2))</f>
        <v>9</v>
      </c>
      <c r="I135" s="8">
        <f>IF(OR(G135="Sunday",G135="Public holiday"),0,H135)</f>
        <v>9</v>
      </c>
      <c r="J135" s="8">
        <f>SUMIFS($I$2:$I$149,$C$2:$C$149,C135,$B$2:$B$149,B135,$A$2:$A$149,"&lt;"&amp;A135)</f>
        <v>35</v>
      </c>
      <c r="K135" s="8">
        <f>MAX(0,MIN(I135,OrdHours-J135))</f>
        <v>3</v>
      </c>
      <c r="L135" s="8">
        <f>I135-K135</f>
        <v>6</v>
      </c>
      <c r="M135" s="8">
        <f>IF(G135="Sunday",H135,0)</f>
        <v>0</v>
      </c>
      <c r="N135" s="8">
        <f>IF(G135="Public holiday",H135,0)</f>
        <v>0</v>
      </c>
      <c r="O135" s="9">
        <f>INDEX(StaffRates,MATCH(C135,StaffNames,0))</f>
        <v>33.1</v>
      </c>
      <c r="P135" s="9">
        <f>ROUND(O135*(K135*IF(G135="Saturday",SatRate,1)+L135*OTRate+M135*SunRate+N135*PHRate),2)</f>
        <v>397.2</v>
      </c>
      <c r="Q135" s="9">
        <f>ROUND(O135*L135*OTRate,2)</f>
        <v>297.9</v>
      </c>
      <c r="R135">
        <f>TRIM(IF(E135="","No finish time ","")&amp;IF(H135&gt;MaxShift,"Shift over limit ","")&amp;IF(AND(H135&gt;5,F135&lt;MinBreak),"Short break ",""))</f>
      </c>
    </row>
    <row r="136">
      <c r="A136" s="4" t="n">
        <v>46346</v>
      </c>
      <c r="B136" s="5">
        <f>A136-WEEKDAY(A136,3)</f>
        <v>46342.0</v>
      </c>
      <c r="C136" s="6" t="inlineStr">
        <is>
          <t>Cara Delmonte</t>
        </is>
      </c>
      <c r="D136" s="7" t="n">
        <v>0.2083333333333333</v>
      </c>
      <c r="E136" s="7" t="n">
        <v>0.5625</v>
      </c>
      <c r="F136" s="6" t="n">
        <v>30</v>
      </c>
      <c r="G136" t="str">
        <f>IF(COUNTIF(Holidays,A136)&gt;0,"Public holiday",IF(WEEKDAY(A136,2)=7,"Sunday",IF(WEEKDAY(A136,2)=6,"Saturday","Weekday")))</f>
        <v>Weekday</v>
      </c>
      <c r="H136" s="8">
        <f>IF(OR(D136="",E136=""),0,ROUND(MOD(E136-D136,1)*24-F136/60,2))</f>
        <v>8</v>
      </c>
      <c r="I136" s="8">
        <f>IF(OR(G136="Sunday",G136="Public holiday"),0,H136)</f>
        <v>8</v>
      </c>
      <c r="J136" s="8">
        <f>SUMIFS($I$2:$I$149,$C$2:$C$149,C136,$B$2:$B$149,B136,$A$2:$A$149,"&lt;"&amp;A136)</f>
        <v>34.5</v>
      </c>
      <c r="K136" s="8">
        <f>MAX(0,MIN(I136,OrdHours-J136))</f>
        <v>3.5</v>
      </c>
      <c r="L136" s="8">
        <f>I136-K136</f>
        <v>4.5</v>
      </c>
      <c r="M136" s="8">
        <f>IF(G136="Sunday",H136,0)</f>
        <v>0</v>
      </c>
      <c r="N136" s="8">
        <f>IF(G136="Public holiday",H136,0)</f>
        <v>0</v>
      </c>
      <c r="O136" s="9">
        <f>INDEX(StaffRates,MATCH(C136,StaffNames,0))</f>
        <v>36.2</v>
      </c>
      <c r="P136" s="9">
        <f>ROUND(O136*(K136*IF(G136="Saturday",SatRate,1)+L136*OTRate+M136*SunRate+N136*PHRate),2)</f>
        <v>371.05</v>
      </c>
      <c r="Q136" s="9">
        <f>ROUND(O136*L136*OTRate,2)</f>
        <v>244.35</v>
      </c>
      <c r="R136">
        <f>TRIM(IF(E136="","No finish time ","")&amp;IF(H136&gt;MaxShift,"Shift over limit ","")&amp;IF(AND(H136&gt;5,F136&lt;MinBreak),"Short break ",""))</f>
      </c>
    </row>
    <row r="137">
      <c r="A137" s="4" t="n">
        <v>46346</v>
      </c>
      <c r="B137" s="5">
        <f>A137-WEEKDAY(A137,3)</f>
        <v>46342.0</v>
      </c>
      <c r="C137" s="6" t="inlineStr">
        <is>
          <t>Dylan Fraser</t>
        </is>
      </c>
      <c r="D137" s="7" t="n">
        <v>0.25</v>
      </c>
      <c r="E137" s="7" t="n">
        <v>0.625</v>
      </c>
      <c r="F137" s="6" t="n">
        <v>30</v>
      </c>
      <c r="G137" t="str">
        <f>IF(COUNTIF(Holidays,A137)&gt;0,"Public holiday",IF(WEEKDAY(A137,2)=7,"Sunday",IF(WEEKDAY(A137,2)=6,"Saturday","Weekday")))</f>
        <v>Weekday</v>
      </c>
      <c r="H137" s="8">
        <f>IF(OR(D137="",E137=""),0,ROUND(MOD(E137-D137,1)*24-F137/60,2))</f>
        <v>8.5</v>
      </c>
      <c r="I137" s="8">
        <f>IF(OR(G137="Sunday",G137="Public holiday"),0,H137)</f>
        <v>8.5</v>
      </c>
      <c r="J137" s="8">
        <f>SUMIFS($I$2:$I$149,$C$2:$C$149,C137,$B$2:$B$149,B137,$A$2:$A$149,"&lt;"&amp;A137)</f>
        <v>23.5</v>
      </c>
      <c r="K137" s="8">
        <f>MAX(0,MIN(I137,OrdHours-J137))</f>
        <v>8.5</v>
      </c>
      <c r="L137" s="8">
        <f>I137-K137</f>
        <v>0</v>
      </c>
      <c r="M137" s="8">
        <f>IF(G137="Sunday",H137,0)</f>
        <v>0</v>
      </c>
      <c r="N137" s="8">
        <f>IF(G137="Public holiday",H137,0)</f>
        <v>0</v>
      </c>
      <c r="O137" s="9">
        <f>INDEX(StaffRates,MATCH(C137,StaffNames,0))</f>
        <v>29.6</v>
      </c>
      <c r="P137" s="9">
        <f>ROUND(O137*(K137*IF(G137="Saturday",SatRate,1)+L137*OTRate+M137*SunRate+N137*PHRate),2)</f>
        <v>251.6</v>
      </c>
      <c r="Q137" s="9">
        <f>ROUND(O137*L137*OTRate,2)</f>
        <v>0</v>
      </c>
      <c r="R137">
        <f>TRIM(IF(E137="","No finish time ","")&amp;IF(H137&gt;MaxShift,"Shift over limit ","")&amp;IF(AND(H137&gt;5,F137&lt;MinBreak),"Short break ",""))</f>
      </c>
    </row>
    <row r="138">
      <c r="A138" s="4" t="n">
        <v>46346</v>
      </c>
      <c r="B138" s="5">
        <f>A138-WEEKDAY(A138,3)</f>
        <v>46342.0</v>
      </c>
      <c r="C138" s="6" t="inlineStr">
        <is>
          <t>Esme Rowe</t>
        </is>
      </c>
      <c r="D138" s="7" t="n">
        <v>0.3125</v>
      </c>
      <c r="E138" s="7" t="n">
        <v>0.6291666666666667</v>
      </c>
      <c r="F138" s="6" t="n">
        <v>15</v>
      </c>
      <c r="G138" t="str">
        <f>IF(COUNTIF(Holidays,A138)&gt;0,"Public holiday",IF(WEEKDAY(A138,2)=7,"Sunday",IF(WEEKDAY(A138,2)=6,"Saturday","Weekday")))</f>
        <v>Weekday</v>
      </c>
      <c r="H138" s="8">
        <f>IF(OR(D138="",E138=""),0,ROUND(MOD(E138-D138,1)*24-F138/60,2))</f>
        <v>7.35</v>
      </c>
      <c r="I138" s="8">
        <f>IF(OR(G138="Sunday",G138="Public holiday"),0,H138)</f>
        <v>7.35</v>
      </c>
      <c r="J138" s="8">
        <f>SUMIFS($I$2:$I$149,$C$2:$C$149,C138,$B$2:$B$149,B138,$A$2:$A$149,"&lt;"&amp;A138)</f>
        <v>8</v>
      </c>
      <c r="K138" s="8">
        <f>MAX(0,MIN(I138,OrdHours-J138))</f>
        <v>7.35</v>
      </c>
      <c r="L138" s="8">
        <f>I138-K138</f>
        <v>0</v>
      </c>
      <c r="M138" s="8">
        <f>IF(G138="Sunday",H138,0)</f>
        <v>0</v>
      </c>
      <c r="N138" s="8">
        <f>IF(G138="Public holiday",H138,0)</f>
        <v>0</v>
      </c>
      <c r="O138" s="9">
        <f>INDEX(StaffRates,MATCH(C138,StaffNames,0))</f>
        <v>27.9</v>
      </c>
      <c r="P138" s="9">
        <f>ROUND(O138*(K138*IF(G138="Saturday",SatRate,1)+L138*OTRate+M138*SunRate+N138*PHRate),2)</f>
        <v>205.07</v>
      </c>
      <c r="Q138" s="9">
        <f>ROUND(O138*L138*OTRate,2)</f>
        <v>0</v>
      </c>
      <c r="R138" t="str">
        <f>TRIM(IF(E138="","No finish time ","")&amp;IF(H138&gt;MaxShift,"Shift over limit ","")&amp;IF(AND(H138&gt;5,F138&lt;MinBreak),"Short break ",""))</f>
        <v>Short break</v>
      </c>
    </row>
    <row r="139">
      <c r="A139" s="4" t="n">
        <v>46346</v>
      </c>
      <c r="B139" s="5">
        <f>A139-WEEKDAY(A139,3)</f>
        <v>46342.0</v>
      </c>
      <c r="C139" s="6" t="inlineStr">
        <is>
          <t>Gia Marchant</t>
        </is>
      </c>
      <c r="D139" s="7" t="n">
        <v>0.2916666666666667</v>
      </c>
      <c r="E139" s="7" t="n">
        <v>0.6666666666666666</v>
      </c>
      <c r="F139" s="6" t="n">
        <v>30</v>
      </c>
      <c r="G139" t="str">
        <f>IF(COUNTIF(Holidays,A139)&gt;0,"Public holiday",IF(WEEKDAY(A139,2)=7,"Sunday",IF(WEEKDAY(A139,2)=6,"Saturday","Weekday")))</f>
        <v>Weekday</v>
      </c>
      <c r="H139" s="8">
        <f>IF(OR(D139="",E139=""),0,ROUND(MOD(E139-D139,1)*24-F139/60,2))</f>
        <v>8.5</v>
      </c>
      <c r="I139" s="8">
        <f>IF(OR(G139="Sunday",G139="Public holiday"),0,H139)</f>
        <v>8.5</v>
      </c>
      <c r="J139" s="8">
        <f>SUMIFS($I$2:$I$149,$C$2:$C$149,C139,$B$2:$B$149,B139,$A$2:$A$149,"&lt;"&amp;A139)</f>
        <v>11.75</v>
      </c>
      <c r="K139" s="8">
        <f>MAX(0,MIN(I139,OrdHours-J139))</f>
        <v>8.5</v>
      </c>
      <c r="L139" s="8">
        <f>I139-K139</f>
        <v>0</v>
      </c>
      <c r="M139" s="8">
        <f>IF(G139="Sunday",H139,0)</f>
        <v>0</v>
      </c>
      <c r="N139" s="8">
        <f>IF(G139="Public holiday",H139,0)</f>
        <v>0</v>
      </c>
      <c r="O139" s="9">
        <f>INDEX(StaffRates,MATCH(C139,StaffNames,0))</f>
        <v>29.6</v>
      </c>
      <c r="P139" s="9">
        <f>ROUND(O139*(K139*IF(G139="Saturday",SatRate,1)+L139*OTRate+M139*SunRate+N139*PHRate),2)</f>
        <v>251.6</v>
      </c>
      <c r="Q139" s="9">
        <f>ROUND(O139*L139*OTRate,2)</f>
        <v>0</v>
      </c>
      <c r="R139">
        <f>TRIM(IF(E139="","No finish time ","")&amp;IF(H139&gt;MaxShift,"Shift over limit ","")&amp;IF(AND(H139&gt;5,F139&lt;MinBreak),"Short break ",""))</f>
      </c>
    </row>
    <row r="140">
      <c r="A140" s="4" t="n">
        <v>46346</v>
      </c>
      <c r="B140" s="5">
        <f>A140-WEEKDAY(A140,3)</f>
        <v>46342.0</v>
      </c>
      <c r="C140" s="6" t="inlineStr">
        <is>
          <t>Hugo Brandt</t>
        </is>
      </c>
      <c r="D140" s="7" t="n">
        <v>0.9166666666666666</v>
      </c>
      <c r="E140" s="7" t="n">
        <v>0.2708333333333333</v>
      </c>
      <c r="F140" s="6" t="n">
        <v>30</v>
      </c>
      <c r="G140" t="str">
        <f>IF(COUNTIF(Holidays,A140)&gt;0,"Public holiday",IF(WEEKDAY(A140,2)=7,"Sunday",IF(WEEKDAY(A140,2)=6,"Saturday","Weekday")))</f>
        <v>Weekday</v>
      </c>
      <c r="H140" s="8">
        <f>IF(OR(D140="",E140=""),0,ROUND(MOD(E140-D140,1)*24-F140/60,2))</f>
        <v>8</v>
      </c>
      <c r="I140" s="8">
        <f>IF(OR(G140="Sunday",G140="Public holiday"),0,H140)</f>
        <v>8</v>
      </c>
      <c r="J140" s="8">
        <f>SUMIFS($I$2:$I$149,$C$2:$C$149,C140,$B$2:$B$149,B140,$A$2:$A$149,"&lt;"&amp;A140)</f>
        <v>5</v>
      </c>
      <c r="K140" s="8">
        <f>MAX(0,MIN(I140,OrdHours-J140))</f>
        <v>8</v>
      </c>
      <c r="L140" s="8">
        <f>I140-K140</f>
        <v>0</v>
      </c>
      <c r="M140" s="8">
        <f>IF(G140="Sunday",H140,0)</f>
        <v>0</v>
      </c>
      <c r="N140" s="8">
        <f>IF(G140="Public holiday",H140,0)</f>
        <v>0</v>
      </c>
      <c r="O140" s="9">
        <f>INDEX(StaffRates,MATCH(C140,StaffNames,0))</f>
        <v>35.4</v>
      </c>
      <c r="P140" s="9">
        <f>ROUND(O140*(K140*IF(G140="Saturday",SatRate,1)+L140*OTRate+M140*SunRate+N140*PHRate),2)</f>
        <v>283.2</v>
      </c>
      <c r="Q140" s="9">
        <f>ROUND(O140*L140*OTRate,2)</f>
        <v>0</v>
      </c>
      <c r="R140">
        <f>TRIM(IF(E140="","No finish time ","")&amp;IF(H140&gt;MaxShift,"Shift over limit ","")&amp;IF(AND(H140&gt;5,F140&lt;MinBreak),"Short break ",""))</f>
      </c>
    </row>
    <row r="141">
      <c r="A141" s="4" t="n">
        <v>46347</v>
      </c>
      <c r="B141" s="5">
        <f>A141-WEEKDAY(A141,3)</f>
        <v>46342.0</v>
      </c>
      <c r="C141" s="6" t="inlineStr">
        <is>
          <t>Ava Kingsley</t>
        </is>
      </c>
      <c r="D141" s="7" t="n">
        <v>0.2291666666666667</v>
      </c>
      <c r="E141" s="7" t="n">
        <v>0.6041666666666666</v>
      </c>
      <c r="F141" s="6" t="n">
        <v>15</v>
      </c>
      <c r="G141" t="str">
        <f>IF(COUNTIF(Holidays,A141)&gt;0,"Public holiday",IF(WEEKDAY(A141,2)=7,"Sunday",IF(WEEKDAY(A141,2)=6,"Saturday","Weekday")))</f>
        <v>Saturday</v>
      </c>
      <c r="H141" s="8">
        <f>IF(OR(D141="",E141=""),0,ROUND(MOD(E141-D141,1)*24-F141/60,2))</f>
        <v>8.75</v>
      </c>
      <c r="I141" s="8">
        <f>IF(OR(G141="Sunday",G141="Public holiday"),0,H141)</f>
        <v>8.75</v>
      </c>
      <c r="J141" s="8">
        <f>SUMIFS($I$2:$I$149,$C$2:$C$149,C141,$B$2:$B$149,B141,$A$2:$A$149,"&lt;"&amp;A141)</f>
        <v>26.5</v>
      </c>
      <c r="K141" s="8">
        <f>MAX(0,MIN(I141,OrdHours-J141))</f>
        <v>8.75</v>
      </c>
      <c r="L141" s="8">
        <f>I141-K141</f>
        <v>0</v>
      </c>
      <c r="M141" s="8">
        <f>IF(G141="Sunday",H141,0)</f>
        <v>0</v>
      </c>
      <c r="N141" s="8">
        <f>IF(G141="Public holiday",H141,0)</f>
        <v>0</v>
      </c>
      <c r="O141" s="9">
        <f>INDEX(StaffRates,MATCH(C141,StaffNames,0))</f>
        <v>34.8</v>
      </c>
      <c r="P141" s="9">
        <f>ROUND(O141*(K141*IF(G141="Saturday",SatRate,1)+L141*OTRate+M141*SunRate+N141*PHRate),2)</f>
        <v>380.63</v>
      </c>
      <c r="Q141" s="9">
        <f>ROUND(O141*L141*OTRate,2)</f>
        <v>0</v>
      </c>
      <c r="R141" t="str">
        <f>TRIM(IF(E141="","No finish time ","")&amp;IF(H141&gt;MaxShift,"Shift over limit ","")&amp;IF(AND(H141&gt;5,F141&lt;MinBreak),"Short break ",""))</f>
        <v>Short break</v>
      </c>
    </row>
    <row r="142">
      <c r="A142" s="4" t="n">
        <v>46347</v>
      </c>
      <c r="B142" s="5">
        <f>A142-WEEKDAY(A142,3)</f>
        <v>46342.0</v>
      </c>
      <c r="C142" s="6" t="inlineStr">
        <is>
          <t>Ben Okafor</t>
        </is>
      </c>
      <c r="D142" s="7" t="n">
        <v>0.1666666666666667</v>
      </c>
      <c r="E142" s="7" t="n">
        <v>0.5833333333333334</v>
      </c>
      <c r="F142" s="6" t="n">
        <v>30</v>
      </c>
      <c r="G142" t="str">
        <f>IF(COUNTIF(Holidays,A142)&gt;0,"Public holiday",IF(WEEKDAY(A142,2)=7,"Sunday",IF(WEEKDAY(A142,2)=6,"Saturday","Weekday")))</f>
        <v>Saturday</v>
      </c>
      <c r="H142" s="8">
        <f>IF(OR(D142="",E142=""),0,ROUND(MOD(E142-D142,1)*24-F142/60,2))</f>
        <v>9.5</v>
      </c>
      <c r="I142" s="8">
        <f>IF(OR(G142="Sunday",G142="Public holiday"),0,H142)</f>
        <v>9.5</v>
      </c>
      <c r="J142" s="8">
        <f>SUMIFS($I$2:$I$149,$C$2:$C$149,C142,$B$2:$B$149,B142,$A$2:$A$149,"&lt;"&amp;A142)</f>
        <v>44</v>
      </c>
      <c r="K142" s="8">
        <f>MAX(0,MIN(I142,OrdHours-J142))</f>
        <v>0</v>
      </c>
      <c r="L142" s="8">
        <f>I142-K142</f>
        <v>9.5</v>
      </c>
      <c r="M142" s="8">
        <f>IF(G142="Sunday",H142,0)</f>
        <v>0</v>
      </c>
      <c r="N142" s="8">
        <f>IF(G142="Public holiday",H142,0)</f>
        <v>0</v>
      </c>
      <c r="O142" s="9">
        <f>INDEX(StaffRates,MATCH(C142,StaffNames,0))</f>
        <v>33.1</v>
      </c>
      <c r="P142" s="9">
        <f>ROUND(O142*(K142*IF(G142="Saturday",SatRate,1)+L142*OTRate+M142*SunRate+N142*PHRate),2)</f>
        <v>471.68</v>
      </c>
      <c r="Q142" s="9">
        <f>ROUND(O142*L142*OTRate,2)</f>
        <v>471.68</v>
      </c>
      <c r="R142">
        <f>TRIM(IF(E142="","No finish time ","")&amp;IF(H142&gt;MaxShift,"Shift over limit ","")&amp;IF(AND(H142&gt;5,F142&lt;MinBreak),"Short break ",""))</f>
      </c>
    </row>
    <row r="143">
      <c r="A143" s="4" t="n">
        <v>46347</v>
      </c>
      <c r="B143" s="5">
        <f>A143-WEEKDAY(A143,3)</f>
        <v>46342.0</v>
      </c>
      <c r="C143" s="6" t="inlineStr">
        <is>
          <t>Cara Delmonte</t>
        </is>
      </c>
      <c r="D143" s="7" t="n">
        <v>0.21875</v>
      </c>
      <c r="E143" s="7" t="n">
        <v>0.5729166666666666</v>
      </c>
      <c r="F143" s="6" t="n">
        <v>30</v>
      </c>
      <c r="G143" t="str">
        <f>IF(COUNTIF(Holidays,A143)&gt;0,"Public holiday",IF(WEEKDAY(A143,2)=7,"Sunday",IF(WEEKDAY(A143,2)=6,"Saturday","Weekday")))</f>
        <v>Saturday</v>
      </c>
      <c r="H143" s="8">
        <f>IF(OR(D143="",E143=""),0,ROUND(MOD(E143-D143,1)*24-F143/60,2))</f>
        <v>8</v>
      </c>
      <c r="I143" s="8">
        <f>IF(OR(G143="Sunday",G143="Public holiday"),0,H143)</f>
        <v>8</v>
      </c>
      <c r="J143" s="8">
        <f>SUMIFS($I$2:$I$149,$C$2:$C$149,C143,$B$2:$B$149,B143,$A$2:$A$149,"&lt;"&amp;A143)</f>
        <v>42.5</v>
      </c>
      <c r="K143" s="8">
        <f>MAX(0,MIN(I143,OrdHours-J143))</f>
        <v>0</v>
      </c>
      <c r="L143" s="8">
        <f>I143-K143</f>
        <v>8</v>
      </c>
      <c r="M143" s="8">
        <f>IF(G143="Sunday",H143,0)</f>
        <v>0</v>
      </c>
      <c r="N143" s="8">
        <f>IF(G143="Public holiday",H143,0)</f>
        <v>0</v>
      </c>
      <c r="O143" s="9">
        <f>INDEX(StaffRates,MATCH(C143,StaffNames,0))</f>
        <v>36.2</v>
      </c>
      <c r="P143" s="9">
        <f>ROUND(O143*(K143*IF(G143="Saturday",SatRate,1)+L143*OTRate+M143*SunRate+N143*PHRate),2)</f>
        <v>434.4</v>
      </c>
      <c r="Q143" s="9">
        <f>ROUND(O143*L143*OTRate,2)</f>
        <v>434.4</v>
      </c>
      <c r="R143">
        <f>TRIM(IF(E143="","No finish time ","")&amp;IF(H143&gt;MaxShift,"Shift over limit ","")&amp;IF(AND(H143&gt;5,F143&lt;MinBreak),"Short break ",""))</f>
      </c>
    </row>
    <row r="144">
      <c r="A144" s="4" t="n">
        <v>46347</v>
      </c>
      <c r="B144" s="5">
        <f>A144-WEEKDAY(A144,3)</f>
        <v>46342.0</v>
      </c>
      <c r="C144" s="6" t="inlineStr">
        <is>
          <t>Dylan Fraser</t>
        </is>
      </c>
      <c r="D144" s="7" t="n">
        <v>0.2708333333333333</v>
      </c>
      <c r="E144" s="7" t="n">
        <v>0.5833333333333334</v>
      </c>
      <c r="F144" s="6" t="n">
        <v>30</v>
      </c>
      <c r="G144" t="str">
        <f>IF(COUNTIF(Holidays,A144)&gt;0,"Public holiday",IF(WEEKDAY(A144,2)=7,"Sunday",IF(WEEKDAY(A144,2)=6,"Saturday","Weekday")))</f>
        <v>Saturday</v>
      </c>
      <c r="H144" s="8">
        <f>IF(OR(D144="",E144=""),0,ROUND(MOD(E144-D144,1)*24-F144/60,2))</f>
        <v>7</v>
      </c>
      <c r="I144" s="8">
        <f>IF(OR(G144="Sunday",G144="Public holiday"),0,H144)</f>
        <v>7</v>
      </c>
      <c r="J144" s="8">
        <f>SUMIFS($I$2:$I$149,$C$2:$C$149,C144,$B$2:$B$149,B144,$A$2:$A$149,"&lt;"&amp;A144)</f>
        <v>32</v>
      </c>
      <c r="K144" s="8">
        <f>MAX(0,MIN(I144,OrdHours-J144))</f>
        <v>6</v>
      </c>
      <c r="L144" s="8">
        <f>I144-K144</f>
        <v>1</v>
      </c>
      <c r="M144" s="8">
        <f>IF(G144="Sunday",H144,0)</f>
        <v>0</v>
      </c>
      <c r="N144" s="8">
        <f>IF(G144="Public holiday",H144,0)</f>
        <v>0</v>
      </c>
      <c r="O144" s="9">
        <f>INDEX(StaffRates,MATCH(C144,StaffNames,0))</f>
        <v>29.6</v>
      </c>
      <c r="P144" s="9">
        <f>ROUND(O144*(K144*IF(G144="Saturday",SatRate,1)+L144*OTRate+M144*SunRate+N144*PHRate),2)</f>
        <v>266.4</v>
      </c>
      <c r="Q144" s="9">
        <f>ROUND(O144*L144*OTRate,2)</f>
        <v>44.4</v>
      </c>
      <c r="R144">
        <f>TRIM(IF(E144="","No finish time ","")&amp;IF(H144&gt;MaxShift,"Shift over limit ","")&amp;IF(AND(H144&gt;5,F144&lt;MinBreak),"Short break ",""))</f>
      </c>
    </row>
    <row r="145">
      <c r="A145" s="4" t="n">
        <v>46347</v>
      </c>
      <c r="B145" s="5">
        <f>A145-WEEKDAY(A145,3)</f>
        <v>46342.0</v>
      </c>
      <c r="C145" s="6" t="inlineStr">
        <is>
          <t>Esme Rowe</t>
        </is>
      </c>
      <c r="D145" s="7" t="n">
        <v>0.3020833333333333</v>
      </c>
      <c r="E145" s="7" t="n"/>
      <c r="F145" s="6" t="n">
        <v>15</v>
      </c>
      <c r="G145" t="str">
        <f>IF(COUNTIF(Holidays,A145)&gt;0,"Public holiday",IF(WEEKDAY(A145,2)=7,"Sunday",IF(WEEKDAY(A145,2)=6,"Saturday","Weekday")))</f>
        <v>Saturday</v>
      </c>
      <c r="H145" s="8">
        <f>IF(OR(D145="",E145=""),0,ROUND(MOD(E145-D145,1)*24-F145/60,2))</f>
        <v>0</v>
      </c>
      <c r="I145" s="8">
        <f>IF(OR(G145="Sunday",G145="Public holiday"),0,H145)</f>
        <v>0</v>
      </c>
      <c r="J145" s="8">
        <f>SUMIFS($I$2:$I$149,$C$2:$C$149,C145,$B$2:$B$149,B145,$A$2:$A$149,"&lt;"&amp;A145)</f>
        <v>15.35</v>
      </c>
      <c r="K145" s="8">
        <f>MAX(0,MIN(I145,OrdHours-J145))</f>
        <v>0</v>
      </c>
      <c r="L145" s="8">
        <f>I145-K145</f>
        <v>0</v>
      </c>
      <c r="M145" s="8">
        <f>IF(G145="Sunday",H145,0)</f>
        <v>0</v>
      </c>
      <c r="N145" s="8">
        <f>IF(G145="Public holiday",H145,0)</f>
        <v>0</v>
      </c>
      <c r="O145" s="9">
        <f>INDEX(StaffRates,MATCH(C145,StaffNames,0))</f>
        <v>27.9</v>
      </c>
      <c r="P145" s="9">
        <f>ROUND(O145*(K145*IF(G145="Saturday",SatRate,1)+L145*OTRate+M145*SunRate+N145*PHRate),2)</f>
        <v>0</v>
      </c>
      <c r="Q145" s="9">
        <f>ROUND(O145*L145*OTRate,2)</f>
        <v>0</v>
      </c>
      <c r="R145" t="str">
        <f>TRIM(IF(E145="","No finish time ","")&amp;IF(H145&gt;MaxShift,"Shift over limit ","")&amp;IF(AND(H145&gt;5,F145&lt;MinBreak),"Short break ",""))</f>
        <v>No finish time</v>
      </c>
    </row>
    <row r="146">
      <c r="A146" s="4" t="n">
        <v>46347</v>
      </c>
      <c r="B146" s="5">
        <f>A146-WEEKDAY(A146,3)</f>
        <v>46342.0</v>
      </c>
      <c r="C146" s="6" t="inlineStr">
        <is>
          <t>Felix Nguyen</t>
        </is>
      </c>
      <c r="D146" s="7" t="n">
        <v>0.4583333333333333</v>
      </c>
      <c r="E146" s="7" t="n">
        <v>0.7916666666666666</v>
      </c>
      <c r="F146" s="6" t="n">
        <v>15</v>
      </c>
      <c r="G146" t="str">
        <f>IF(COUNTIF(Holidays,A146)&gt;0,"Public holiday",IF(WEEKDAY(A146,2)=7,"Sunday",IF(WEEKDAY(A146,2)=6,"Saturday","Weekday")))</f>
        <v>Saturday</v>
      </c>
      <c r="H146" s="8">
        <f>IF(OR(D146="",E146=""),0,ROUND(MOD(E146-D146,1)*24-F146/60,2))</f>
        <v>7.75</v>
      </c>
      <c r="I146" s="8">
        <f>IF(OR(G146="Sunday",G146="Public holiday"),0,H146)</f>
        <v>7.75</v>
      </c>
      <c r="J146" s="8">
        <f>SUMIFS($I$2:$I$149,$C$2:$C$149,C146,$B$2:$B$149,B146,$A$2:$A$149,"&lt;"&amp;A146)</f>
        <v>20.35</v>
      </c>
      <c r="K146" s="8">
        <f>MAX(0,MIN(I146,OrdHours-J146))</f>
        <v>7.75</v>
      </c>
      <c r="L146" s="8">
        <f>I146-K146</f>
        <v>0</v>
      </c>
      <c r="M146" s="8">
        <f>IF(G146="Sunday",H146,0)</f>
        <v>0</v>
      </c>
      <c r="N146" s="8">
        <f>IF(G146="Public holiday",H146,0)</f>
        <v>0</v>
      </c>
      <c r="O146" s="9">
        <f>INDEX(StaffRates,MATCH(C146,StaffNames,0))</f>
        <v>27.9</v>
      </c>
      <c r="P146" s="9">
        <f>ROUND(O146*(K146*IF(G146="Saturday",SatRate,1)+L146*OTRate+M146*SunRate+N146*PHRate),2)</f>
        <v>270.28</v>
      </c>
      <c r="Q146" s="9">
        <f>ROUND(O146*L146*OTRate,2)</f>
        <v>0</v>
      </c>
      <c r="R146" t="str">
        <f>TRIM(IF(E146="","No finish time ","")&amp;IF(H146&gt;MaxShift,"Shift over limit ","")&amp;IF(AND(H146&gt;5,F146&lt;MinBreak),"Short break ",""))</f>
        <v>Short break</v>
      </c>
    </row>
    <row r="147">
      <c r="A147" s="4" t="n">
        <v>46347</v>
      </c>
      <c r="B147" s="5">
        <f>A147-WEEKDAY(A147,3)</f>
        <v>46342.0</v>
      </c>
      <c r="C147" s="6" t="inlineStr">
        <is>
          <t>Hugo Brandt</t>
        </is>
      </c>
      <c r="D147" s="7" t="n">
        <v>0.9270833333333334</v>
      </c>
      <c r="E147" s="7" t="n">
        <v>0.28125</v>
      </c>
      <c r="F147" s="6" t="n">
        <v>30</v>
      </c>
      <c r="G147" t="str">
        <f>IF(COUNTIF(Holidays,A147)&gt;0,"Public holiday",IF(WEEKDAY(A147,2)=7,"Sunday",IF(WEEKDAY(A147,2)=6,"Saturday","Weekday")))</f>
        <v>Saturday</v>
      </c>
      <c r="H147" s="8">
        <f>IF(OR(D147="",E147=""),0,ROUND(MOD(E147-D147,1)*24-F147/60,2))</f>
        <v>8</v>
      </c>
      <c r="I147" s="8">
        <f>IF(OR(G147="Sunday",G147="Public holiday"),0,H147)</f>
        <v>8</v>
      </c>
      <c r="J147" s="8">
        <f>SUMIFS($I$2:$I$149,$C$2:$C$149,C147,$B$2:$B$149,B147,$A$2:$A$149,"&lt;"&amp;A147)</f>
        <v>13</v>
      </c>
      <c r="K147" s="8">
        <f>MAX(0,MIN(I147,OrdHours-J147))</f>
        <v>8</v>
      </c>
      <c r="L147" s="8">
        <f>I147-K147</f>
        <v>0</v>
      </c>
      <c r="M147" s="8">
        <f>IF(G147="Sunday",H147,0)</f>
        <v>0</v>
      </c>
      <c r="N147" s="8">
        <f>IF(G147="Public holiday",H147,0)</f>
        <v>0</v>
      </c>
      <c r="O147" s="9">
        <f>INDEX(StaffRates,MATCH(C147,StaffNames,0))</f>
        <v>35.4</v>
      </c>
      <c r="P147" s="9">
        <f>ROUND(O147*(K147*IF(G147="Saturday",SatRate,1)+L147*OTRate+M147*SunRate+N147*PHRate),2)</f>
        <v>354</v>
      </c>
      <c r="Q147" s="9">
        <f>ROUND(O147*L147*OTRate,2)</f>
        <v>0</v>
      </c>
      <c r="R147">
        <f>TRIM(IF(E147="","No finish time ","")&amp;IF(H147&gt;MaxShift,"Shift over limit ","")&amp;IF(AND(H147&gt;5,F147&lt;MinBreak),"Short break ",""))</f>
      </c>
    </row>
    <row r="148">
      <c r="A148" s="4" t="n">
        <v>46348</v>
      </c>
      <c r="B148" s="5">
        <f>A148-WEEKDAY(A148,3)</f>
        <v>46342.0</v>
      </c>
      <c r="C148" s="6" t="inlineStr">
        <is>
          <t>Gia Marchant</t>
        </is>
      </c>
      <c r="D148" s="7" t="n">
        <v>0.3229166666666667</v>
      </c>
      <c r="E148" s="7" t="n">
        <v>0.53125</v>
      </c>
      <c r="F148" s="6" t="n">
        <v>0</v>
      </c>
      <c r="G148" t="str">
        <f>IF(COUNTIF(Holidays,A148)&gt;0,"Public holiday",IF(WEEKDAY(A148,2)=7,"Sunday",IF(WEEKDAY(A148,2)=6,"Saturday","Weekday")))</f>
        <v>Sunday</v>
      </c>
      <c r="H148" s="8">
        <f>IF(OR(D148="",E148=""),0,ROUND(MOD(E148-D148,1)*24-F148/60,2))</f>
        <v>5</v>
      </c>
      <c r="I148" s="8">
        <f>IF(OR(G148="Sunday",G148="Public holiday"),0,H148)</f>
        <v>0</v>
      </c>
      <c r="J148" s="8">
        <f>SUMIFS($I$2:$I$149,$C$2:$C$149,C148,$B$2:$B$149,B148,$A$2:$A$149,"&lt;"&amp;A148)</f>
        <v>20.25</v>
      </c>
      <c r="K148" s="8">
        <f>MAX(0,MIN(I148,OrdHours-J148))</f>
        <v>0</v>
      </c>
      <c r="L148" s="8">
        <f>I148-K148</f>
        <v>0</v>
      </c>
      <c r="M148" s="8">
        <f>IF(G148="Sunday",H148,0)</f>
        <v>5</v>
      </c>
      <c r="N148" s="8">
        <f>IF(G148="Public holiday",H148,0)</f>
        <v>0</v>
      </c>
      <c r="O148" s="9">
        <f>INDEX(StaffRates,MATCH(C148,StaffNames,0))</f>
        <v>29.6</v>
      </c>
      <c r="P148" s="9">
        <f>ROUND(O148*(K148*IF(G148="Saturday",SatRate,1)+L148*OTRate+M148*SunRate+N148*PHRate),2)</f>
        <v>222</v>
      </c>
      <c r="Q148" s="9">
        <f>ROUND(O148*L148*OTRate,2)</f>
        <v>0</v>
      </c>
      <c r="R148">
        <f>TRIM(IF(E148="","No finish time ","")&amp;IF(H148&gt;MaxShift,"Shift over limit ","")&amp;IF(AND(H148&gt;5,F148&lt;MinBreak),"Short break ",""))</f>
      </c>
    </row>
    <row r="149">
      <c r="A149" s="4" t="n">
        <v>46348</v>
      </c>
      <c r="B149" s="5">
        <f>A149-WEEKDAY(A149,3)</f>
        <v>46342.0</v>
      </c>
      <c r="C149" s="6" t="inlineStr">
        <is>
          <t>Hugo Brandt</t>
        </is>
      </c>
      <c r="D149" s="7" t="n">
        <v>0.9375</v>
      </c>
      <c r="E149" s="7" t="n">
        <v>0.1875</v>
      </c>
      <c r="F149" s="6" t="n">
        <v>30</v>
      </c>
      <c r="G149" t="str">
        <f>IF(COUNTIF(Holidays,A149)&gt;0,"Public holiday",IF(WEEKDAY(A149,2)=7,"Sunday",IF(WEEKDAY(A149,2)=6,"Saturday","Weekday")))</f>
        <v>Sunday</v>
      </c>
      <c r="H149" s="8">
        <f>IF(OR(D149="",E149=""),0,ROUND(MOD(E149-D149,1)*24-F149/60,2))</f>
        <v>5.5</v>
      </c>
      <c r="I149" s="8">
        <f>IF(OR(G149="Sunday",G149="Public holiday"),0,H149)</f>
        <v>0</v>
      </c>
      <c r="J149" s="8">
        <f>SUMIFS($I$2:$I$149,$C$2:$C$149,C149,$B$2:$B$149,B149,$A$2:$A$149,"&lt;"&amp;A149)</f>
        <v>21</v>
      </c>
      <c r="K149" s="8">
        <f>MAX(0,MIN(I149,OrdHours-J149))</f>
        <v>0</v>
      </c>
      <c r="L149" s="8">
        <f>I149-K149</f>
        <v>0</v>
      </c>
      <c r="M149" s="8">
        <f>IF(G149="Sunday",H149,0)</f>
        <v>5.5</v>
      </c>
      <c r="N149" s="8">
        <f>IF(G149="Public holiday",H149,0)</f>
        <v>0</v>
      </c>
      <c r="O149" s="9">
        <f>INDEX(StaffRates,MATCH(C149,StaffNames,0))</f>
        <v>35.4</v>
      </c>
      <c r="P149" s="9">
        <f>ROUND(O149*(K149*IF(G149="Saturday",SatRate,1)+L149*OTRate+M149*SunRate+N149*PHRate),2)</f>
        <v>292.05</v>
      </c>
      <c r="Q149" s="9">
        <f>ROUND(O149*L149*OTRate,2)</f>
        <v>0</v>
      </c>
      <c r="R149">
        <f>TRIM(IF(E149="","No finish time ","")&amp;IF(H149&gt;MaxShift,"Shift over limit ","")&amp;IF(AND(H149&gt;5,F149&lt;MinBreak),"Short break ",""))</f>
      </c>
    </row>
  </sheetData>
  <conditionalFormatting sqref="R2:R149">
    <cfRule type="expression" priority="1" dxfId="0">
      <formula>LEN($R2)&gt;0</formula>
    </cfRule>
  </conditionalFormatting>
  <conditionalFormatting sqref="L2:L149">
    <cfRule type="cellIs" priority="2" operator="greaterThan" dxfId="1">
      <formula>0</formula>
    </cfRule>
  </conditionalFormatting>
  <dataValidations count="1">
    <dataValidation sqref="C2:C349" showDropDown="0" showInputMessage="0" showErrorMessage="0" allowBlank="0" type="list">
      <formula1>=StaffNames</formula1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22"/>
  <sheetViews>
    <sheetView workbookViewId="0">
      <selection activeCell="A1" sqref="A1"/>
    </sheetView>
  </sheetViews>
  <sheetFormatPr baseColWidth="8" defaultRowHeight="15"/>
  <cols>
    <col width="44" customWidth="1" min="1" max="1"/>
    <col width="30" customWidth="1" min="2" max="2"/>
    <col width="18" customWidth="1" min="4" max="4"/>
    <col width="13" customWidth="1" min="5" max="5"/>
    <col width="15" customWidth="1" min="6" max="6"/>
  </cols>
  <sheetData>
    <row r="1">
      <c r="A1" s="10" t="inlineStr">
        <is>
          <t>Settings (yellow cells are inputs)</t>
        </is>
      </c>
    </row>
    <row r="2">
      <c r="D2" s="11" t="inlineStr">
        <is>
          <t>Staff</t>
        </is>
      </c>
    </row>
    <row r="3">
      <c r="A3" t="inlineStr">
        <is>
          <t>Ordinary hours per week before overtime</t>
        </is>
      </c>
      <c r="B3" s="6" t="n">
        <v>38</v>
      </c>
      <c r="D3" s="12" t="inlineStr">
        <is>
          <t>Employee</t>
        </is>
      </c>
      <c r="E3" s="12" t="inlineStr">
        <is>
          <t>Role</t>
        </is>
      </c>
      <c r="F3" s="12" t="inlineStr">
        <is>
          <t>Base rate ($/h)</t>
        </is>
      </c>
    </row>
    <row r="4">
      <c r="A4" t="inlineStr">
        <is>
          <t>Overtime rate (x base)</t>
        </is>
      </c>
      <c r="B4" s="6" t="n">
        <v>1.5</v>
      </c>
      <c r="D4" t="inlineStr">
        <is>
          <t>Ava Kingsley</t>
        </is>
      </c>
      <c r="E4" t="inlineStr">
        <is>
          <t>Baker</t>
        </is>
      </c>
      <c r="F4" s="13" t="n">
        <v>34.8</v>
      </c>
    </row>
    <row r="5">
      <c r="A5" t="inlineStr">
        <is>
          <t>Saturday rate (x base)</t>
        </is>
      </c>
      <c r="B5" s="6" t="n">
        <v>1.25</v>
      </c>
      <c r="D5" t="inlineStr">
        <is>
          <t>Ben Okafor</t>
        </is>
      </c>
      <c r="E5" t="inlineStr">
        <is>
          <t>Baker</t>
        </is>
      </c>
      <c r="F5" s="13" t="n">
        <v>33.1</v>
      </c>
    </row>
    <row r="6">
      <c r="A6" t="inlineStr">
        <is>
          <t>Sunday rate (x base)</t>
        </is>
      </c>
      <c r="B6" s="6" t="n">
        <v>1.5</v>
      </c>
      <c r="D6" t="inlineStr">
        <is>
          <t>Cara Delmonte</t>
        </is>
      </c>
      <c r="E6" t="inlineStr">
        <is>
          <t>Pastry chef</t>
        </is>
      </c>
      <c r="F6" s="13" t="n">
        <v>36.2</v>
      </c>
    </row>
    <row r="7">
      <c r="A7" t="inlineStr">
        <is>
          <t>Public holiday rate (x base)</t>
        </is>
      </c>
      <c r="B7" s="6" t="n">
        <v>2.25</v>
      </c>
      <c r="D7" t="inlineStr">
        <is>
          <t>Dylan Fraser</t>
        </is>
      </c>
      <c r="E7" t="inlineStr">
        <is>
          <t>Barista</t>
        </is>
      </c>
      <c r="F7" s="13" t="n">
        <v>29.6</v>
      </c>
    </row>
    <row r="8">
      <c r="A8" t="inlineStr">
        <is>
          <t>Superannuation (% of pay excl. overtime)</t>
        </is>
      </c>
      <c r="B8" s="14" t="n">
        <v>0.12</v>
      </c>
      <c r="D8" t="inlineStr">
        <is>
          <t>Esme Rowe</t>
        </is>
      </c>
      <c r="E8" t="inlineStr">
        <is>
          <t>Counter</t>
        </is>
      </c>
      <c r="F8" s="13" t="n">
        <v>27.9</v>
      </c>
    </row>
    <row r="9">
      <c r="A9" t="inlineStr">
        <is>
          <t>Flag shifts longer than (hours)</t>
        </is>
      </c>
      <c r="B9" s="6" t="n">
        <v>12</v>
      </c>
      <c r="D9" t="inlineStr">
        <is>
          <t>Felix Nguyen</t>
        </is>
      </c>
      <c r="E9" t="inlineStr">
        <is>
          <t>Counter</t>
        </is>
      </c>
      <c r="F9" s="13" t="n">
        <v>27.9</v>
      </c>
    </row>
    <row r="10">
      <c r="A10" t="inlineStr">
        <is>
          <t>Minimum break for shifts over 5 h (minutes)</t>
        </is>
      </c>
      <c r="B10" s="6" t="n">
        <v>30</v>
      </c>
      <c r="D10" t="inlineStr">
        <is>
          <t>Gia Marchant</t>
        </is>
      </c>
      <c r="E10" t="inlineStr">
        <is>
          <t>Barista</t>
        </is>
      </c>
      <c r="F10" s="13" t="n">
        <v>29.6</v>
      </c>
    </row>
    <row r="11">
      <c r="D11" t="inlineStr">
        <is>
          <t>Hugo Brandt</t>
        </is>
      </c>
      <c r="E11" t="inlineStr">
        <is>
          <t>Night baker</t>
        </is>
      </c>
      <c r="F11" s="13" t="n">
        <v>35.4</v>
      </c>
    </row>
    <row r="12">
      <c r="A12" s="11" t="inlineStr">
        <is>
          <t>Public holidays</t>
        </is>
      </c>
    </row>
    <row r="13">
      <c r="A13" s="15" t="n">
        <v>46329</v>
      </c>
      <c r="B13" t="inlineStr">
        <is>
          <t>Melbourne Cup Day (VIC, sample)</t>
        </is>
      </c>
    </row>
    <row r="22">
      <c r="A22" s="16" t="inlineStr">
        <is>
          <t>These are sample settings for a sample business, not award or legal advice. Set them to the award or agreement that applies.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3"/>
  <sheetViews>
    <sheetView workbookViewId="0">
      <selection activeCell="A1" sqref="A1"/>
    </sheetView>
  </sheetViews>
  <sheetFormatPr baseColWidth="8" defaultRowHeight="15"/>
  <cols>
    <col width="18" customWidth="1" min="1" max="1"/>
    <col width="8" customWidth="1" min="2" max="2"/>
    <col width="9" customWidth="1" min="3" max="3"/>
    <col width="10" customWidth="1" min="4" max="4"/>
    <col width="10" customWidth="1" min="5" max="5"/>
    <col width="10" customWidth="1" min="6" max="6"/>
    <col width="9" customWidth="1" min="7" max="7"/>
    <col width="11" customWidth="1" min="8" max="8"/>
    <col width="12" customWidth="1" min="9" max="9"/>
    <col width="13" customWidth="1" min="10" max="10"/>
    <col width="10" customWidth="1" min="11" max="11"/>
    <col width="8" customWidth="1" min="12" max="12"/>
  </cols>
  <sheetData>
    <row r="1">
      <c r="A1" s="10" t="inlineStr">
        <is>
          <t>Pay run by fortnight (live SUMIFS on Timesheets)</t>
        </is>
      </c>
    </row>
    <row r="2">
      <c r="A2" t="inlineStr">
        <is>
          <t>Fortnight starting</t>
        </is>
      </c>
      <c r="B2" s="15" t="n">
        <v>46321</v>
      </c>
      <c r="C2" t="str">
        <f>" to "&amp;TEXT(B2+13,"ddd d mmm yyyy")</f>
        <v> to Sun 8 Nov 2026</v>
      </c>
    </row>
    <row r="4">
      <c r="A4" s="17" t="inlineStr">
        <is>
          <t>Employee</t>
        </is>
      </c>
      <c r="B4" s="17" t="inlineStr">
        <is>
          <t>Shifts</t>
        </is>
      </c>
      <c r="C4" s="17" t="inlineStr">
        <is>
          <t>Hours</t>
        </is>
      </c>
      <c r="D4" s="17" t="inlineStr">
        <is>
          <t>Ordinary</t>
        </is>
      </c>
      <c r="E4" s="17" t="inlineStr">
        <is>
          <t>Overtime</t>
        </is>
      </c>
      <c r="F4" s="17" t="inlineStr">
        <is>
          <t>Saturday</t>
        </is>
      </c>
      <c r="G4" s="17" t="inlineStr">
        <is>
          <t>Sunday</t>
        </is>
      </c>
      <c r="H4" s="17" t="inlineStr">
        <is>
          <t>Public hol.</t>
        </is>
      </c>
      <c r="I4" s="17" t="inlineStr">
        <is>
          <t>Gross pay</t>
        </is>
      </c>
      <c r="J4" s="17" t="inlineStr">
        <is>
          <t>Overtime pay</t>
        </is>
      </c>
      <c r="K4" s="17" t="inlineStr">
        <is>
          <t>Super</t>
        </is>
      </c>
      <c r="L4" s="17" t="inlineStr">
        <is>
          <t>Flags</t>
        </is>
      </c>
    </row>
    <row r="5">
      <c r="A5" t="inlineStr">
        <is>
          <t>Ava Kingsley</t>
        </is>
      </c>
      <c r="B5">
        <f>COUNTIFS(Timesheets!$C$2:$C$149,$A5,Timesheets!$A$2:$A$149,"&gt;="&amp;$B$2,Timesheets!$A$2:$A$149,"&lt;"&amp;$B$2+14)</f>
        <v>8</v>
      </c>
      <c r="C5" s="8">
        <f>SUMIFS(Timesheets!$H$2:$H$149,Timesheets!$C$2:$C$149,$A5,Timesheets!$A$2:$A$149,"&gt;="&amp;$B$2,Timesheets!$A$2:$A$149,"&lt;"&amp;$B$2+14)</f>
        <v>70.5</v>
      </c>
      <c r="D5" s="8">
        <f>SUMIFS(Timesheets!$K$2:$K$149,Timesheets!$C$2:$C$149,$A5,Timesheets!$A$2:$A$149,"&gt;="&amp;$B$2,Timesheets!$A$2:$A$149,"&lt;"&amp;$B$2+14)</f>
        <v>61.5</v>
      </c>
      <c r="E5" s="8">
        <f>SUMIFS(Timesheets!$L$2:$L$149,Timesheets!$C$2:$C$149,$A5,Timesheets!$A$2:$A$149,"&gt;="&amp;$B$2,Timesheets!$A$2:$A$149,"&lt;"&amp;$B$2+14)</f>
        <v>0</v>
      </c>
      <c r="F5" s="8">
        <f>SUMIFS(Timesheets!$K$2:$K$149,Timesheets!$C$2:$C$149,$A5,Timesheets!$A$2:$A$149,"&gt;="&amp;$B$2,Timesheets!$A$2:$A$149,"&lt;"&amp;$B$2+14,Timesheets!$G$2:$G$149,"Saturday")</f>
        <v>8</v>
      </c>
      <c r="G5" s="8">
        <f>SUMIFS(Timesheets!$M$2:$M$149,Timesheets!$C$2:$C$149,$A5,Timesheets!$A$2:$A$149,"&gt;="&amp;$B$2,Timesheets!$A$2:$A$149,"&lt;"&amp;$B$2+14)</f>
        <v>9</v>
      </c>
      <c r="H5" s="8">
        <f>SUMIFS(Timesheets!$N$2:$N$149,Timesheets!$C$2:$C$149,$A5,Timesheets!$A$2:$A$149,"&gt;="&amp;$B$2,Timesheets!$A$2:$A$149,"&lt;"&amp;$B$2+14)</f>
        <v>0</v>
      </c>
      <c r="I5" s="9">
        <f>SUMIFS(Timesheets!$P$2:$P$149,Timesheets!$C$2:$C$149,$A5,Timesheets!$A$2:$A$149,"&gt;="&amp;$B$2,Timesheets!$A$2:$A$149,"&lt;"&amp;$B$2+14)</f>
        <v>2679.6</v>
      </c>
      <c r="J5" s="9">
        <f>SUMIFS(Timesheets!$Q$2:$Q$149,Timesheets!$C$2:$C$149,$A5,Timesheets!$A$2:$A$149,"&gt;="&amp;$B$2,Timesheets!$A$2:$A$149,"&lt;"&amp;$B$2+14)</f>
        <v>0</v>
      </c>
      <c r="K5" s="9">
        <f>ROUND((I5-J5)*SuperRate,2)</f>
        <v>321.55</v>
      </c>
      <c r="L5">
        <f>COUNTIFS(Timesheets!$C$2:$C$149,$A5,Timesheets!$A$2:$A$149,"&gt;="&amp;$B$2,Timesheets!$A$2:$A$149,"&lt;"&amp;$B$2+14,Timesheets!$R$2:$R$149,"?*")</f>
        <v>0</v>
      </c>
    </row>
    <row r="6">
      <c r="A6" t="inlineStr">
        <is>
          <t>Ben Okafor</t>
        </is>
      </c>
      <c r="B6">
        <f>COUNTIFS(Timesheets!$C$2:$C$149,$A6,Timesheets!$A$2:$A$149,"&gt;="&amp;$B$2,Timesheets!$A$2:$A$149,"&lt;"&amp;$B$2+14)</f>
        <v>11</v>
      </c>
      <c r="C6" s="8">
        <f>SUMIFS(Timesheets!$H$2:$H$149,Timesheets!$C$2:$C$149,$A6,Timesheets!$A$2:$A$149,"&gt;="&amp;$B$2,Timesheets!$A$2:$A$149,"&lt;"&amp;$B$2+14)</f>
        <v>93.5</v>
      </c>
      <c r="D6" s="8">
        <f>SUMIFS(Timesheets!$K$2:$K$149,Timesheets!$C$2:$C$149,$A6,Timesheets!$A$2:$A$149,"&gt;="&amp;$B$2,Timesheets!$A$2:$A$149,"&lt;"&amp;$B$2+14)</f>
        <v>70</v>
      </c>
      <c r="E6" s="8">
        <f>SUMIFS(Timesheets!$L$2:$L$149,Timesheets!$C$2:$C$149,$A6,Timesheets!$A$2:$A$149,"&gt;="&amp;$B$2,Timesheets!$A$2:$A$149,"&lt;"&amp;$B$2+14)</f>
        <v>14.5</v>
      </c>
      <c r="F6" s="8">
        <f>SUMIFS(Timesheets!$K$2:$K$149,Timesheets!$C$2:$C$149,$A6,Timesheets!$A$2:$A$149,"&gt;="&amp;$B$2,Timesheets!$A$2:$A$149,"&lt;"&amp;$B$2+14,Timesheets!$G$2:$G$149,"Saturday")</f>
        <v>0</v>
      </c>
      <c r="G6" s="8">
        <f>SUMIFS(Timesheets!$M$2:$M$149,Timesheets!$C$2:$C$149,$A6,Timesheets!$A$2:$A$149,"&gt;="&amp;$B$2,Timesheets!$A$2:$A$149,"&lt;"&amp;$B$2+14)</f>
        <v>0</v>
      </c>
      <c r="H6" s="8">
        <f>SUMIFS(Timesheets!$N$2:$N$149,Timesheets!$C$2:$C$149,$A6,Timesheets!$A$2:$A$149,"&gt;="&amp;$B$2,Timesheets!$A$2:$A$149,"&lt;"&amp;$B$2+14)</f>
        <v>9</v>
      </c>
      <c r="I6" s="9">
        <f>SUMIFS(Timesheets!$P$2:$P$149,Timesheets!$C$2:$C$149,$A6,Timesheets!$A$2:$A$149,"&gt;="&amp;$B$2,Timesheets!$A$2:$A$149,"&lt;"&amp;$B$2+14)</f>
        <v>3707.21</v>
      </c>
      <c r="J6" s="9">
        <f>SUMIFS(Timesheets!$Q$2:$Q$149,Timesheets!$C$2:$C$149,$A6,Timesheets!$A$2:$A$149,"&gt;="&amp;$B$2,Timesheets!$A$2:$A$149,"&lt;"&amp;$B$2+14)</f>
        <v>719.93</v>
      </c>
      <c r="K6" s="9">
        <f>ROUND((I6-J6)*SuperRate,2)</f>
        <v>358.47</v>
      </c>
      <c r="L6">
        <f>COUNTIFS(Timesheets!$C$2:$C$149,$A6,Timesheets!$A$2:$A$149,"&gt;="&amp;$B$2,Timesheets!$A$2:$A$149,"&lt;"&amp;$B$2+14,Timesheets!$R$2:$R$149,"?*")</f>
        <v>0</v>
      </c>
    </row>
    <row r="7">
      <c r="A7" t="inlineStr">
        <is>
          <t>Cara Delmonte</t>
        </is>
      </c>
      <c r="B7">
        <f>COUNTIFS(Timesheets!$C$2:$C$149,$A7,Timesheets!$A$2:$A$149,"&gt;="&amp;$B$2,Timesheets!$A$2:$A$149,"&lt;"&amp;$B$2+14)</f>
        <v>13</v>
      </c>
      <c r="C7" s="8">
        <f>SUMIFS(Timesheets!$H$2:$H$149,Timesheets!$C$2:$C$149,$A7,Timesheets!$A$2:$A$149,"&gt;="&amp;$B$2,Timesheets!$A$2:$A$149,"&lt;"&amp;$B$2+14)</f>
        <v>115.25</v>
      </c>
      <c r="D7" s="8">
        <f>SUMIFS(Timesheets!$K$2:$K$149,Timesheets!$C$2:$C$149,$A7,Timesheets!$A$2:$A$149,"&gt;="&amp;$B$2,Timesheets!$A$2:$A$149,"&lt;"&amp;$B$2+14)</f>
        <v>73.5</v>
      </c>
      <c r="E7" s="8">
        <f>SUMIFS(Timesheets!$L$2:$L$149,Timesheets!$C$2:$C$149,$A7,Timesheets!$A$2:$A$149,"&gt;="&amp;$B$2,Timesheets!$A$2:$A$149,"&lt;"&amp;$B$2+14)</f>
        <v>16.25</v>
      </c>
      <c r="F7" s="8">
        <f>SUMIFS(Timesheets!$K$2:$K$149,Timesheets!$C$2:$C$149,$A7,Timesheets!$A$2:$A$149,"&gt;="&amp;$B$2,Timesheets!$A$2:$A$149,"&lt;"&amp;$B$2+14,Timesheets!$G$2:$G$149,"Saturday")</f>
        <v>9.5</v>
      </c>
      <c r="G7" s="8">
        <f>SUMIFS(Timesheets!$M$2:$M$149,Timesheets!$C$2:$C$149,$A7,Timesheets!$A$2:$A$149,"&gt;="&amp;$B$2,Timesheets!$A$2:$A$149,"&lt;"&amp;$B$2+14)</f>
        <v>17.5</v>
      </c>
      <c r="H7" s="8">
        <f>SUMIFS(Timesheets!$N$2:$N$149,Timesheets!$C$2:$C$149,$A7,Timesheets!$A$2:$A$149,"&gt;="&amp;$B$2,Timesheets!$A$2:$A$149,"&lt;"&amp;$B$2+14)</f>
        <v>8</v>
      </c>
      <c r="I7" s="9">
        <f>SUMIFS(Timesheets!$P$2:$P$149,Timesheets!$C$2:$C$149,$A7,Timesheets!$A$2:$A$149,"&gt;="&amp;$B$2,Timesheets!$A$2:$A$149,"&lt;"&amp;$B$2+14)</f>
        <v>5230.91</v>
      </c>
      <c r="J7" s="9">
        <f>SUMIFS(Timesheets!$Q$2:$Q$149,Timesheets!$C$2:$C$149,$A7,Timesheets!$A$2:$A$149,"&gt;="&amp;$B$2,Timesheets!$A$2:$A$149,"&lt;"&amp;$B$2+14)</f>
        <v>882.38</v>
      </c>
      <c r="K7" s="9">
        <f>ROUND((I7-J7)*SuperRate,2)</f>
        <v>521.82</v>
      </c>
      <c r="L7">
        <f>COUNTIFS(Timesheets!$C$2:$C$149,$A7,Timesheets!$A$2:$A$149,"&gt;="&amp;$B$2,Timesheets!$A$2:$A$149,"&lt;"&amp;$B$2+14,Timesheets!$R$2:$R$149,"?*")</f>
        <v>1</v>
      </c>
    </row>
    <row r="8">
      <c r="A8" t="inlineStr">
        <is>
          <t>Dylan Fraser</t>
        </is>
      </c>
      <c r="B8">
        <f>COUNTIFS(Timesheets!$C$2:$C$149,$A8,Timesheets!$A$2:$A$149,"&gt;="&amp;$B$2,Timesheets!$A$2:$A$149,"&lt;"&amp;$B$2+14)</f>
        <v>10</v>
      </c>
      <c r="C8" s="8">
        <f>SUMIFS(Timesheets!$H$2:$H$149,Timesheets!$C$2:$C$149,$A8,Timesheets!$A$2:$A$149,"&gt;="&amp;$B$2,Timesheets!$A$2:$A$149,"&lt;"&amp;$B$2+14)</f>
        <v>76</v>
      </c>
      <c r="D8" s="8">
        <f>SUMIFS(Timesheets!$K$2:$K$149,Timesheets!$C$2:$C$149,$A8,Timesheets!$A$2:$A$149,"&gt;="&amp;$B$2,Timesheets!$A$2:$A$149,"&lt;"&amp;$B$2+14)</f>
        <v>62.5</v>
      </c>
      <c r="E8" s="8">
        <f>SUMIFS(Timesheets!$L$2:$L$149,Timesheets!$C$2:$C$149,$A8,Timesheets!$A$2:$A$149,"&gt;="&amp;$B$2,Timesheets!$A$2:$A$149,"&lt;"&amp;$B$2+14)</f>
        <v>0</v>
      </c>
      <c r="F8" s="8">
        <f>SUMIFS(Timesheets!$K$2:$K$149,Timesheets!$C$2:$C$149,$A8,Timesheets!$A$2:$A$149,"&gt;="&amp;$B$2,Timesheets!$A$2:$A$149,"&lt;"&amp;$B$2+14,Timesheets!$G$2:$G$149,"Saturday")</f>
        <v>5</v>
      </c>
      <c r="G8" s="8">
        <f>SUMIFS(Timesheets!$M$2:$M$149,Timesheets!$C$2:$C$149,$A8,Timesheets!$A$2:$A$149,"&gt;="&amp;$B$2,Timesheets!$A$2:$A$149,"&lt;"&amp;$B$2+14)</f>
        <v>5</v>
      </c>
      <c r="H8" s="8">
        <f>SUMIFS(Timesheets!$N$2:$N$149,Timesheets!$C$2:$C$149,$A8,Timesheets!$A$2:$A$149,"&gt;="&amp;$B$2,Timesheets!$A$2:$A$149,"&lt;"&amp;$B$2+14)</f>
        <v>8.5</v>
      </c>
      <c r="I8" s="9">
        <f>SUMIFS(Timesheets!$P$2:$P$149,Timesheets!$C$2:$C$149,$A8,Timesheets!$A$2:$A$149,"&gt;="&amp;$B$2,Timesheets!$A$2:$A$149,"&lt;"&amp;$B$2+14)</f>
        <v>2675.1</v>
      </c>
      <c r="J8" s="9">
        <f>SUMIFS(Timesheets!$Q$2:$Q$149,Timesheets!$C$2:$C$149,$A8,Timesheets!$A$2:$A$149,"&gt;="&amp;$B$2,Timesheets!$A$2:$A$149,"&lt;"&amp;$B$2+14)</f>
        <v>0</v>
      </c>
      <c r="K8" s="9">
        <f>ROUND((I8-J8)*SuperRate,2)</f>
        <v>321.01</v>
      </c>
      <c r="L8">
        <f>COUNTIFS(Timesheets!$C$2:$C$149,$A8,Timesheets!$A$2:$A$149,"&gt;="&amp;$B$2,Timesheets!$A$2:$A$149,"&lt;"&amp;$B$2+14,Timesheets!$R$2:$R$149,"?*")</f>
        <v>1</v>
      </c>
    </row>
    <row r="9">
      <c r="A9" t="inlineStr">
        <is>
          <t>Esme Rowe</t>
        </is>
      </c>
      <c r="B9">
        <f>COUNTIFS(Timesheets!$C$2:$C$149,$A9,Timesheets!$A$2:$A$149,"&gt;="&amp;$B$2,Timesheets!$A$2:$A$149,"&lt;"&amp;$B$2+14)</f>
        <v>8</v>
      </c>
      <c r="C9" s="8">
        <f>SUMIFS(Timesheets!$H$2:$H$149,Timesheets!$C$2:$C$149,$A9,Timesheets!$A$2:$A$149,"&gt;="&amp;$B$2,Timesheets!$A$2:$A$149,"&lt;"&amp;$B$2+14)</f>
        <v>50.05</v>
      </c>
      <c r="D9" s="8">
        <f>SUMIFS(Timesheets!$K$2:$K$149,Timesheets!$C$2:$C$149,$A9,Timesheets!$A$2:$A$149,"&gt;="&amp;$B$2,Timesheets!$A$2:$A$149,"&lt;"&amp;$B$2+14)</f>
        <v>42.95</v>
      </c>
      <c r="E9" s="8">
        <f>SUMIFS(Timesheets!$L$2:$L$149,Timesheets!$C$2:$C$149,$A9,Timesheets!$A$2:$A$149,"&gt;="&amp;$B$2,Timesheets!$A$2:$A$149,"&lt;"&amp;$B$2+14)</f>
        <v>0</v>
      </c>
      <c r="F9" s="8">
        <f>SUMIFS(Timesheets!$K$2:$K$149,Timesheets!$C$2:$C$149,$A9,Timesheets!$A$2:$A$149,"&gt;="&amp;$B$2,Timesheets!$A$2:$A$149,"&lt;"&amp;$B$2+14,Timesheets!$G$2:$G$149,"Saturday")</f>
        <v>0</v>
      </c>
      <c r="G9" s="8">
        <f>SUMIFS(Timesheets!$M$2:$M$149,Timesheets!$C$2:$C$149,$A9,Timesheets!$A$2:$A$149,"&gt;="&amp;$B$2,Timesheets!$A$2:$A$149,"&lt;"&amp;$B$2+14)</f>
        <v>0</v>
      </c>
      <c r="H9" s="8">
        <f>SUMIFS(Timesheets!$N$2:$N$149,Timesheets!$C$2:$C$149,$A9,Timesheets!$A$2:$A$149,"&gt;="&amp;$B$2,Timesheets!$A$2:$A$149,"&lt;"&amp;$B$2+14)</f>
        <v>7.1</v>
      </c>
      <c r="I9" s="9">
        <f>SUMIFS(Timesheets!$P$2:$P$149,Timesheets!$C$2:$C$149,$A9,Timesheets!$A$2:$A$149,"&gt;="&amp;$B$2,Timesheets!$A$2:$A$149,"&lt;"&amp;$B$2+14)</f>
        <v>1644.01</v>
      </c>
      <c r="J9" s="9">
        <f>SUMIFS(Timesheets!$Q$2:$Q$149,Timesheets!$C$2:$C$149,$A9,Timesheets!$A$2:$A$149,"&gt;="&amp;$B$2,Timesheets!$A$2:$A$149,"&lt;"&amp;$B$2+14)</f>
        <v>0</v>
      </c>
      <c r="K9" s="9">
        <f>ROUND((I9-J9)*SuperRate,2)</f>
        <v>197.28</v>
      </c>
      <c r="L9">
        <f>COUNTIFS(Timesheets!$C$2:$C$149,$A9,Timesheets!$A$2:$A$149,"&gt;="&amp;$B$2,Timesheets!$A$2:$A$149,"&lt;"&amp;$B$2+14,Timesheets!$R$2:$R$149,"?*")</f>
        <v>1</v>
      </c>
    </row>
    <row r="10">
      <c r="A10" t="inlineStr">
        <is>
          <t>Felix Nguyen</t>
        </is>
      </c>
      <c r="B10">
        <f>COUNTIFS(Timesheets!$C$2:$C$149,$A10,Timesheets!$A$2:$A$149,"&gt;="&amp;$B$2,Timesheets!$A$2:$A$149,"&lt;"&amp;$B$2+14)</f>
        <v>8</v>
      </c>
      <c r="C10" s="8">
        <f>SUMIFS(Timesheets!$H$2:$H$149,Timesheets!$C$2:$C$149,$A10,Timesheets!$A$2:$A$149,"&gt;="&amp;$B$2,Timesheets!$A$2:$A$149,"&lt;"&amp;$B$2+14)</f>
        <v>43.8</v>
      </c>
      <c r="D10" s="8">
        <f>SUMIFS(Timesheets!$K$2:$K$149,Timesheets!$C$2:$C$149,$A10,Timesheets!$A$2:$A$149,"&gt;="&amp;$B$2,Timesheets!$A$2:$A$149,"&lt;"&amp;$B$2+14)</f>
        <v>39.8</v>
      </c>
      <c r="E10" s="8">
        <f>SUMIFS(Timesheets!$L$2:$L$149,Timesheets!$C$2:$C$149,$A10,Timesheets!$A$2:$A$149,"&gt;="&amp;$B$2,Timesheets!$A$2:$A$149,"&lt;"&amp;$B$2+14)</f>
        <v>0</v>
      </c>
      <c r="F10" s="8">
        <f>SUMIFS(Timesheets!$K$2:$K$149,Timesheets!$C$2:$C$149,$A10,Timesheets!$A$2:$A$149,"&gt;="&amp;$B$2,Timesheets!$A$2:$A$149,"&lt;"&amp;$B$2+14,Timesheets!$G$2:$G$149,"Saturday")</f>
        <v>12.6</v>
      </c>
      <c r="G10" s="8">
        <f>SUMIFS(Timesheets!$M$2:$M$149,Timesheets!$C$2:$C$149,$A10,Timesheets!$A$2:$A$149,"&gt;="&amp;$B$2,Timesheets!$A$2:$A$149,"&lt;"&amp;$B$2+14)</f>
        <v>4</v>
      </c>
      <c r="H10" s="8">
        <f>SUMIFS(Timesheets!$N$2:$N$149,Timesheets!$C$2:$C$149,$A10,Timesheets!$A$2:$A$149,"&gt;="&amp;$B$2,Timesheets!$A$2:$A$149,"&lt;"&amp;$B$2+14)</f>
        <v>0</v>
      </c>
      <c r="I10" s="9">
        <f>SUMIFS(Timesheets!$P$2:$P$149,Timesheets!$C$2:$C$149,$A10,Timesheets!$A$2:$A$149,"&gt;="&amp;$B$2,Timesheets!$A$2:$A$149,"&lt;"&amp;$B$2+14)</f>
        <v>1365.7</v>
      </c>
      <c r="J10" s="9">
        <f>SUMIFS(Timesheets!$Q$2:$Q$149,Timesheets!$C$2:$C$149,$A10,Timesheets!$A$2:$A$149,"&gt;="&amp;$B$2,Timesheets!$A$2:$A$149,"&lt;"&amp;$B$2+14)</f>
        <v>0</v>
      </c>
      <c r="K10" s="9">
        <f>ROUND((I10-J10)*SuperRate,2)</f>
        <v>163.88</v>
      </c>
      <c r="L10">
        <f>COUNTIFS(Timesheets!$C$2:$C$149,$A10,Timesheets!$A$2:$A$149,"&gt;="&amp;$B$2,Timesheets!$A$2:$A$149,"&lt;"&amp;$B$2+14,Timesheets!$R$2:$R$149,"?*")</f>
        <v>0</v>
      </c>
    </row>
    <row r="11">
      <c r="A11" t="inlineStr">
        <is>
          <t>Gia Marchant</t>
        </is>
      </c>
      <c r="B11">
        <f>COUNTIFS(Timesheets!$C$2:$C$149,$A11,Timesheets!$A$2:$A$149,"&gt;="&amp;$B$2,Timesheets!$A$2:$A$149,"&lt;"&amp;$B$2+14)</f>
        <v>9</v>
      </c>
      <c r="C11" s="8">
        <f>SUMIFS(Timesheets!$H$2:$H$149,Timesheets!$C$2:$C$149,$A11,Timesheets!$A$2:$A$149,"&gt;="&amp;$B$2,Timesheets!$A$2:$A$149,"&lt;"&amp;$B$2+14)</f>
        <v>68.5</v>
      </c>
      <c r="D11" s="8">
        <f>SUMIFS(Timesheets!$K$2:$K$149,Timesheets!$C$2:$C$149,$A11,Timesheets!$A$2:$A$149,"&gt;="&amp;$B$2,Timesheets!$A$2:$A$149,"&lt;"&amp;$B$2+14)</f>
        <v>56</v>
      </c>
      <c r="E11" s="8">
        <f>SUMIFS(Timesheets!$L$2:$L$149,Timesheets!$C$2:$C$149,$A11,Timesheets!$A$2:$A$149,"&gt;="&amp;$B$2,Timesheets!$A$2:$A$149,"&lt;"&amp;$B$2+14)</f>
        <v>0</v>
      </c>
      <c r="F11" s="8">
        <f>SUMIFS(Timesheets!$K$2:$K$149,Timesheets!$C$2:$C$149,$A11,Timesheets!$A$2:$A$149,"&gt;="&amp;$B$2,Timesheets!$A$2:$A$149,"&lt;"&amp;$B$2+14,Timesheets!$G$2:$G$149,"Saturday")</f>
        <v>0</v>
      </c>
      <c r="G11" s="8">
        <f>SUMIFS(Timesheets!$M$2:$M$149,Timesheets!$C$2:$C$149,$A11,Timesheets!$A$2:$A$149,"&gt;="&amp;$B$2,Timesheets!$A$2:$A$149,"&lt;"&amp;$B$2+14)</f>
        <v>7.5</v>
      </c>
      <c r="H11" s="8">
        <f>SUMIFS(Timesheets!$N$2:$N$149,Timesheets!$C$2:$C$149,$A11,Timesheets!$A$2:$A$149,"&gt;="&amp;$B$2,Timesheets!$A$2:$A$149,"&lt;"&amp;$B$2+14)</f>
        <v>5</v>
      </c>
      <c r="I11" s="9">
        <f>SUMIFS(Timesheets!$P$2:$P$149,Timesheets!$C$2:$C$149,$A11,Timesheets!$A$2:$A$149,"&gt;="&amp;$B$2,Timesheets!$A$2:$A$149,"&lt;"&amp;$B$2+14)</f>
        <v>2323.6</v>
      </c>
      <c r="J11" s="9">
        <f>SUMIFS(Timesheets!$Q$2:$Q$149,Timesheets!$C$2:$C$149,$A11,Timesheets!$A$2:$A$149,"&gt;="&amp;$B$2,Timesheets!$A$2:$A$149,"&lt;"&amp;$B$2+14)</f>
        <v>0</v>
      </c>
      <c r="K11" s="9">
        <f>ROUND((I11-J11)*SuperRate,2)</f>
        <v>278.83</v>
      </c>
      <c r="L11">
        <f>COUNTIFS(Timesheets!$C$2:$C$149,$A11,Timesheets!$A$2:$A$149,"&gt;="&amp;$B$2,Timesheets!$A$2:$A$149,"&lt;"&amp;$B$2+14,Timesheets!$R$2:$R$149,"?*")</f>
        <v>0</v>
      </c>
    </row>
    <row r="12">
      <c r="A12" t="inlineStr">
        <is>
          <t>Hugo Brandt</t>
        </is>
      </c>
      <c r="B12">
        <f>COUNTIFS(Timesheets!$C$2:$C$149,$A12,Timesheets!$A$2:$A$149,"&gt;="&amp;$B$2,Timesheets!$A$2:$A$149,"&lt;"&amp;$B$2+14)</f>
        <v>10</v>
      </c>
      <c r="C12" s="8">
        <f>SUMIFS(Timesheets!$H$2:$H$149,Timesheets!$C$2:$C$149,$A12,Timesheets!$A$2:$A$149,"&gt;="&amp;$B$2,Timesheets!$A$2:$A$149,"&lt;"&amp;$B$2+14)</f>
        <v>58</v>
      </c>
      <c r="D12" s="8">
        <f>SUMIFS(Timesheets!$K$2:$K$149,Timesheets!$C$2:$C$149,$A12,Timesheets!$A$2:$A$149,"&gt;="&amp;$B$2,Timesheets!$A$2:$A$149,"&lt;"&amp;$B$2+14)</f>
        <v>53</v>
      </c>
      <c r="E12" s="8">
        <f>SUMIFS(Timesheets!$L$2:$L$149,Timesheets!$C$2:$C$149,$A12,Timesheets!$A$2:$A$149,"&gt;="&amp;$B$2,Timesheets!$A$2:$A$149,"&lt;"&amp;$B$2+14)</f>
        <v>0</v>
      </c>
      <c r="F12" s="8">
        <f>SUMIFS(Timesheets!$K$2:$K$149,Timesheets!$C$2:$C$149,$A12,Timesheets!$A$2:$A$149,"&gt;="&amp;$B$2,Timesheets!$A$2:$A$149,"&lt;"&amp;$B$2+14,Timesheets!$G$2:$G$149,"Saturday")</f>
        <v>13.25</v>
      </c>
      <c r="G12" s="8">
        <f>SUMIFS(Timesheets!$M$2:$M$149,Timesheets!$C$2:$C$149,$A12,Timesheets!$A$2:$A$149,"&gt;="&amp;$B$2,Timesheets!$A$2:$A$149,"&lt;"&amp;$B$2+14)</f>
        <v>5</v>
      </c>
      <c r="H12" s="8">
        <f>SUMIFS(Timesheets!$N$2:$N$149,Timesheets!$C$2:$C$149,$A12,Timesheets!$A$2:$A$149,"&gt;="&amp;$B$2,Timesheets!$A$2:$A$149,"&lt;"&amp;$B$2+14)</f>
        <v>0</v>
      </c>
      <c r="I12" s="9">
        <f>SUMIFS(Timesheets!$P$2:$P$149,Timesheets!$C$2:$C$149,$A12,Timesheets!$A$2:$A$149,"&gt;="&amp;$B$2,Timesheets!$A$2:$A$149,"&lt;"&amp;$B$2+14)</f>
        <v>2258.97</v>
      </c>
      <c r="J12" s="9">
        <f>SUMIFS(Timesheets!$Q$2:$Q$149,Timesheets!$C$2:$C$149,$A12,Timesheets!$A$2:$A$149,"&gt;="&amp;$B$2,Timesheets!$A$2:$A$149,"&lt;"&amp;$B$2+14)</f>
        <v>0</v>
      </c>
      <c r="K12" s="9">
        <f>ROUND((I12-J12)*SuperRate,2)</f>
        <v>271.08</v>
      </c>
      <c r="L12">
        <f>COUNTIFS(Timesheets!$C$2:$C$149,$A12,Timesheets!$A$2:$A$149,"&gt;="&amp;$B$2,Timesheets!$A$2:$A$149,"&lt;"&amp;$B$2+14,Timesheets!$R$2:$R$149,"?*")</f>
        <v>5</v>
      </c>
    </row>
    <row r="13">
      <c r="A13" s="18" t="inlineStr">
        <is>
          <t>Total</t>
        </is>
      </c>
      <c r="B13" s="18">
        <f>SUM(B5:B12)</f>
        <v>77</v>
      </c>
      <c r="C13" s="19">
        <f>SUM(C5:C12)</f>
        <v>575.6</v>
      </c>
      <c r="D13" s="19">
        <f>SUM(D5:D12)</f>
        <v>459.25</v>
      </c>
      <c r="E13" s="19">
        <f>SUM(E5:E12)</f>
        <v>30.75</v>
      </c>
      <c r="F13" s="19">
        <f>SUM(F5:F12)</f>
        <v>48.35</v>
      </c>
      <c r="G13" s="19">
        <f>SUM(G5:G12)</f>
        <v>48</v>
      </c>
      <c r="H13" s="19">
        <f>SUM(H5:H12)</f>
        <v>37.6</v>
      </c>
      <c r="I13" s="20">
        <f>SUM(I5:I12)</f>
        <v>21885.1</v>
      </c>
      <c r="J13" s="20">
        <f>SUM(J5:J12)</f>
        <v>1602.31</v>
      </c>
      <c r="K13" s="20">
        <f>SUM(K5:K12)</f>
        <v>2433.92</v>
      </c>
      <c r="L13" s="18">
        <f>SUM(L5:L12)</f>
        <v>8</v>
      </c>
    </row>
  </sheetData>
  <conditionalFormatting sqref="L5:L12">
    <cfRule type="cellIs" priority="1" operator="greaterThan" dxfId="2">
      <formula>0</formula>
    </cfRule>
  </conditionalFormatting>
  <dataValidations count="1">
    <dataValidation sqref="B2" showDropDown="0" showInputMessage="0" showErrorMessage="0" allowBlank="0" type="list">
      <formula1>"26/10/2026,09/11/2026"</formula1>
    </dataValidation>
  </dataValidations>
  <pageMargins left="0.75" right="0.75" top="1" bottom="1" header="0.5" footer="0.5"/>
  <drawing xmlns:r="http://schemas.openxmlformats.org/officeDocument/2006/relationships" r:id="rId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8"/>
  <sheetViews>
    <sheetView workbookViewId="0">
      <selection activeCell="A1" sqref="A1"/>
    </sheetView>
  </sheetViews>
  <sheetFormatPr baseColWidth="8" defaultRowHeight="15"/>
  <cols>
    <col width="62" customWidth="1" min="1" max="1"/>
    <col width="14" customWidth="1" min="2" max="2"/>
    <col width="10" customWidth="1" min="3" max="3"/>
  </cols>
  <sheetData>
    <row r="1">
      <c r="A1" s="10" t="inlineStr">
        <is>
          <t>Checks (live)</t>
        </is>
      </c>
    </row>
    <row r="3">
      <c r="A3" s="12" t="inlineStr">
        <is>
          <t>Check</t>
        </is>
      </c>
      <c r="B3" s="12" t="inlineStr">
        <is>
          <t>Value</t>
        </is>
      </c>
      <c r="C3" s="12" t="inlineStr">
        <is>
          <t>Result</t>
        </is>
      </c>
    </row>
    <row r="4">
      <c r="A4" t="inlineStr">
        <is>
          <t>Hours = ordinary + overtime + Sunday + public holiday (all rows)</t>
        </is>
      </c>
      <c r="B4">
        <f>ROUND(SUM(Timesheets!$H$2:$H$149)-SUM(Timesheets!$K$2:$K$149)-SUM(Timesheets!$L$2:$L$149)-SUM(Timesheets!$M$2:$M$149)-SUM(Timesheets!$N$2:$N$149),2)</f>
        <v>0</v>
      </c>
      <c r="C4" t="str">
        <f>IF(B4=0,"PASS","CHECK")</f>
        <v>PASS</v>
      </c>
    </row>
    <row r="5">
      <c r="A5" t="inlineStr">
        <is>
          <t>No ordinary hours paid after the weekly limit is reached</t>
        </is>
      </c>
      <c r="B5">
        <f>SUMPRODUCT((Timesheets!$J$2:$J$149&gt;=OrdHours)*(Timesheets!$K$2:$K$149&gt;0))</f>
        <v>0</v>
      </c>
      <c r="C5" t="str">
        <f>IF(B5=0,"PASS","CHECK")</f>
        <v>PASS</v>
      </c>
    </row>
    <row r="6">
      <c r="A6" t="inlineStr">
        <is>
          <t>Every employee name matches the Staff list</t>
        </is>
      </c>
      <c r="B6">
        <f>SUMPRODUCT((COUNTIF(StaffNames,Timesheets!$C$2:$C$149)=0)*1)</f>
        <v>0</v>
      </c>
      <c r="C6" t="str">
        <f>IF(B6=0,"PASS","CHECK")</f>
        <v>PASS</v>
      </c>
    </row>
    <row r="7">
      <c r="A7" t="inlineStr">
        <is>
          <t>Both fortnights' gross pay = Timesheets gross pay</t>
        </is>
      </c>
      <c r="B7" s="9">
        <f>ROUND(SUM(Timesheets!$P$2:$P$149),2)</f>
        <v>40548.89</v>
      </c>
      <c r="C7" t="str">
        <f>IF(ABS(B7-SUMPRODUCT(Timesheets!$P$2:$P$149*(Timesheets!$A$2:$A$149&gt;=DATE(2026,10,26))*(Timesheets!$A$2:$A$149&lt;DATE(2026,10,26)+28)))&lt;0.01,"PASS","CHECK")</f>
        <v>PASS</v>
      </c>
    </row>
    <row r="8">
      <c r="A8" t="inlineStr">
        <is>
          <t>Shifts with flags to review before pay day</t>
        </is>
      </c>
      <c r="B8">
        <f>COUNTIF(Timesheets!$R$2:$R$149,"?*")</f>
        <v>15</v>
      </c>
      <c r="C8" t="str">
        <f>IF(B8=0,"PASS","REVIEW")</f>
        <v>REVIEW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2026-10-27T06:57:47Z</dcterms:created>
  <dcterms:modified xmlns:dcterms="http://purl.org/dc/terms/" xmlns:xsi="http://www.w3.org/2001/XMLSchema-instance" xsi:type="dcterms:W3CDTF">2026-10-27T06:57:47Z</dcterms:modified>
</cp:coreProperties>
</file>