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ems" sheetId="1" state="visible" r:id="rId1"/>
    <sheet xmlns:r="http://schemas.openxmlformats.org/officeDocument/2006/relationships" name="Movements" sheetId="2" state="visible" r:id="rId2"/>
    <sheet xmlns:r="http://schemas.openxmlformats.org/officeDocument/2006/relationships" name="Balance" sheetId="3" state="visible" r:id="rId3"/>
    <sheet xmlns:r="http://schemas.openxmlformats.org/officeDocument/2006/relationships" name="Weekly_Report" sheetId="4" state="visible" r:id="rId4"/>
    <sheet xmlns:r="http://schemas.openxmlformats.org/officeDocument/2006/relationships" name="Checks" sheetId="5" state="visible" r:id="rId5"/>
  </sheets>
  <definedNames>
    <definedName name="_xlnm._FilterDatabase" localSheetId="1" hidden="1">'Movements'!$A$1:$N$91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-MMM-YY"/>
    <numFmt numFmtId="166" formatCode="#,##0;-#,##0;;@"/>
    <numFmt numFmtId="167" formatCode="DD-MMM-YYYY"/>
    <numFmt numFmtId="168" formatCode="DD-M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B2545"/>
      <sz val="14"/>
    </font>
    <font>
      <b val="1"/>
    </font>
    <font>
      <b val="1"/>
      <color rgb="000B2545"/>
      <sz val="16"/>
    </font>
    <font>
      <i val="1"/>
      <color rgb="005B6776"/>
    </font>
    <font>
      <b val="1"/>
      <color rgb="005B6776"/>
    </font>
    <font>
      <b val="1"/>
      <color rgb="000B2545"/>
      <sz val="12"/>
    </font>
  </fonts>
  <fills count="4">
    <fill>
      <patternFill/>
    </fill>
    <fill>
      <patternFill patternType="gray125"/>
    </fill>
    <fill>
      <patternFill patternType="solid">
        <fgColor rgb="000B2545"/>
      </patternFill>
    </fill>
    <fill>
      <patternFill patternType="solid">
        <fgColor rgb="00E3F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7" fontId="3" fillId="3" borderId="0" pivotButton="0" quotePrefix="0" xfId="0"/>
    <xf numFmtId="0" fontId="6" fillId="0" borderId="0" pivotButton="0" quotePrefix="0" xfId="0"/>
    <xf numFmtId="0" fontId="7" fillId="0" borderId="0" pivotButton="0" quotePrefix="0" xfId="0"/>
    <xf numFmtId="168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BF0D9"/>
        </patternFill>
      </fill>
    </dxf>
    <dxf>
      <fill>
        <patternFill patternType="solid">
          <fgColor rgb="00F9E3E1"/>
        </patternFill>
      </fill>
    </dxf>
    <dxf>
      <fill>
        <patternFill patternType="solid">
          <fgColor rgb="00E1F2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Closing stock by SKU (selected week)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'Weekly_Report'!F11</f>
            </strRef>
          </tx>
          <spPr>
            <a:ln xmlns:a="http://schemas.openxmlformats.org/drawingml/2006/main">
              <a:prstDash val="solid"/>
            </a:ln>
          </spPr>
          <cat>
            <numRef>
              <f>'Weekly_Report'!$A$12:$A$29</f>
            </numRef>
          </cat>
          <val>
            <numRef>
              <f>'Weekly_Report'!$F$12:$F$29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3</row>
      <rowOff>0</rowOff>
    </from>
    <ext cx="54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  <col width="7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SKU</t>
        </is>
      </c>
      <c r="B1" s="1" t="inlineStr">
        <is>
          <t>Description</t>
        </is>
      </c>
      <c r="C1" s="1" t="inlineStr">
        <is>
          <t>Unit</t>
        </is>
      </c>
      <c r="D1" s="1" t="inlineStr">
        <is>
          <t>Opening Main</t>
        </is>
      </c>
      <c r="E1" s="1" t="inlineStr">
        <is>
          <t>Opening Annex</t>
        </is>
      </c>
      <c r="F1" s="1" t="inlineStr">
        <is>
          <t>Reorder Level</t>
        </is>
      </c>
    </row>
    <row r="2">
      <c r="A2" t="inlineStr">
        <is>
          <t>PK-1001</t>
        </is>
      </c>
      <c r="B2" t="inlineStr">
        <is>
          <t>Carton box 600x400x400</t>
        </is>
      </c>
      <c r="C2" t="inlineStr">
        <is>
          <t>pcs</t>
        </is>
      </c>
      <c r="D2" t="n">
        <v>225</v>
      </c>
      <c r="E2" t="n">
        <v>19</v>
      </c>
      <c r="F2" t="n">
        <v>40</v>
      </c>
    </row>
    <row r="3">
      <c r="A3" t="inlineStr">
        <is>
          <t>PK-1002</t>
        </is>
      </c>
      <c r="B3" t="inlineStr">
        <is>
          <t>Carton box 400x300x300</t>
        </is>
      </c>
      <c r="C3" t="inlineStr">
        <is>
          <t>pcs</t>
        </is>
      </c>
      <c r="D3" t="n">
        <v>262</v>
      </c>
      <c r="E3" t="n">
        <v>83</v>
      </c>
      <c r="F3" t="n">
        <v>100</v>
      </c>
    </row>
    <row r="4">
      <c r="A4" t="inlineStr">
        <is>
          <t>PK-1003</t>
        </is>
      </c>
      <c r="B4" t="inlineStr">
        <is>
          <t>Stretch film 500mm</t>
        </is>
      </c>
      <c r="C4" t="inlineStr">
        <is>
          <t>roll</t>
        </is>
      </c>
      <c r="D4" t="n">
        <v>84</v>
      </c>
      <c r="E4" t="n">
        <v>9</v>
      </c>
      <c r="F4" t="n">
        <v>50</v>
      </c>
    </row>
    <row r="5">
      <c r="A5" t="inlineStr">
        <is>
          <t>PK-1004</t>
        </is>
      </c>
      <c r="B5" t="inlineStr">
        <is>
          <t>Packing tape 48mm</t>
        </is>
      </c>
      <c r="C5" t="inlineStr">
        <is>
          <t>roll</t>
        </is>
      </c>
      <c r="D5" t="n">
        <v>334</v>
      </c>
      <c r="E5" t="n">
        <v>12</v>
      </c>
      <c r="F5" t="n">
        <v>60</v>
      </c>
    </row>
    <row r="6">
      <c r="A6" t="inlineStr">
        <is>
          <t>PK-1005</t>
        </is>
      </c>
      <c r="B6" t="inlineStr">
        <is>
          <t>Bubble wrap 1m x 50m</t>
        </is>
      </c>
      <c r="C6" t="inlineStr">
        <is>
          <t>roll</t>
        </is>
      </c>
      <c r="D6" t="n">
        <v>247</v>
      </c>
      <c r="E6" t="n">
        <v>74</v>
      </c>
      <c r="F6" t="n">
        <v>80</v>
      </c>
    </row>
    <row r="7">
      <c r="A7" t="inlineStr">
        <is>
          <t>PL-2001</t>
        </is>
      </c>
      <c r="B7" t="inlineStr">
        <is>
          <t>Plastic pallet 1200x1000</t>
        </is>
      </c>
      <c r="C7" t="inlineStr">
        <is>
          <t>pcs</t>
        </is>
      </c>
      <c r="D7" t="n">
        <v>89</v>
      </c>
      <c r="E7" t="n">
        <v>116</v>
      </c>
      <c r="F7" t="n">
        <v>50</v>
      </c>
    </row>
    <row r="8">
      <c r="A8" t="inlineStr">
        <is>
          <t>PL-2002</t>
        </is>
      </c>
      <c r="B8" t="inlineStr">
        <is>
          <t>Wooden pallet 1200x800</t>
        </is>
      </c>
      <c r="C8" t="inlineStr">
        <is>
          <t>pcs</t>
        </is>
      </c>
      <c r="D8" t="n">
        <v>319</v>
      </c>
      <c r="E8" t="n">
        <v>27</v>
      </c>
      <c r="F8" t="n">
        <v>100</v>
      </c>
    </row>
    <row r="9">
      <c r="A9" t="inlineStr">
        <is>
          <t>SF-3001</t>
        </is>
      </c>
      <c r="B9" t="inlineStr">
        <is>
          <t>Safety gloves (pair)</t>
        </is>
      </c>
      <c r="C9" t="inlineStr">
        <is>
          <t>pair</t>
        </is>
      </c>
      <c r="D9" t="n">
        <v>79</v>
      </c>
      <c r="E9" t="n">
        <v>11</v>
      </c>
      <c r="F9" t="n">
        <v>40</v>
      </c>
    </row>
    <row r="10">
      <c r="A10" t="inlineStr">
        <is>
          <t>SF-3002</t>
        </is>
      </c>
      <c r="B10" t="inlineStr">
        <is>
          <t>Hi-vis vest</t>
        </is>
      </c>
      <c r="C10" t="inlineStr">
        <is>
          <t>pcs</t>
        </is>
      </c>
      <c r="D10" t="n">
        <v>282</v>
      </c>
      <c r="E10" t="n">
        <v>53</v>
      </c>
      <c r="F10" t="n">
        <v>100</v>
      </c>
    </row>
    <row r="11">
      <c r="A11" t="inlineStr">
        <is>
          <t>LB-4001</t>
        </is>
      </c>
      <c r="B11" t="inlineStr">
        <is>
          <t>Thermal label 100x150</t>
        </is>
      </c>
      <c r="C11" t="inlineStr">
        <is>
          <t>roll</t>
        </is>
      </c>
      <c r="D11" t="n">
        <v>95</v>
      </c>
      <c r="E11" t="n">
        <v>30</v>
      </c>
      <c r="F11" t="n">
        <v>60</v>
      </c>
    </row>
    <row r="12">
      <c r="A12" t="inlineStr">
        <is>
          <t>LB-4002</t>
        </is>
      </c>
      <c r="B12" t="inlineStr">
        <is>
          <t>Barcode ribbon 110mm</t>
        </is>
      </c>
      <c r="C12" t="inlineStr">
        <is>
          <t>roll</t>
        </is>
      </c>
      <c r="D12" t="n">
        <v>106</v>
      </c>
      <c r="E12" t="n">
        <v>70</v>
      </c>
      <c r="F12" t="n">
        <v>100</v>
      </c>
    </row>
    <row r="13">
      <c r="A13" t="inlineStr">
        <is>
          <t>CL-5001</t>
        </is>
      </c>
      <c r="B13" t="inlineStr">
        <is>
          <t>Floor cleaner 5L</t>
        </is>
      </c>
      <c r="C13" t="inlineStr">
        <is>
          <t>can</t>
        </is>
      </c>
      <c r="D13" t="n">
        <v>277</v>
      </c>
      <c r="E13" t="n">
        <v>7</v>
      </c>
      <c r="F13" t="n">
        <v>50</v>
      </c>
    </row>
    <row r="14">
      <c r="A14" t="inlineStr">
        <is>
          <t>CL-5002</t>
        </is>
      </c>
      <c r="B14" t="inlineStr">
        <is>
          <t>Industrial wipes</t>
        </is>
      </c>
      <c r="C14" t="inlineStr">
        <is>
          <t>box</t>
        </is>
      </c>
      <c r="D14" t="n">
        <v>349</v>
      </c>
      <c r="E14" t="n">
        <v>15</v>
      </c>
      <c r="F14" t="n">
        <v>40</v>
      </c>
    </row>
    <row r="15">
      <c r="A15" t="inlineStr">
        <is>
          <t>HW-6001</t>
        </is>
      </c>
      <c r="B15" t="inlineStr">
        <is>
          <t>Cable ties 300mm (100)</t>
        </is>
      </c>
      <c r="C15" t="inlineStr">
        <is>
          <t>pack</t>
        </is>
      </c>
      <c r="D15" t="n">
        <v>174</v>
      </c>
      <c r="E15" t="n">
        <v>80</v>
      </c>
      <c r="F15" t="n">
        <v>100</v>
      </c>
    </row>
    <row r="16">
      <c r="A16" t="inlineStr">
        <is>
          <t>HW-6002</t>
        </is>
      </c>
      <c r="B16" t="inlineStr">
        <is>
          <t>Strapping band 12mm</t>
        </is>
      </c>
      <c r="C16" t="inlineStr">
        <is>
          <t>coil</t>
        </is>
      </c>
      <c r="D16" t="n">
        <v>381</v>
      </c>
      <c r="E16" t="n">
        <v>74</v>
      </c>
      <c r="F16" t="n">
        <v>100</v>
      </c>
    </row>
    <row r="17">
      <c r="A17" t="inlineStr">
        <is>
          <t>HW-6003</t>
        </is>
      </c>
      <c r="B17" t="inlineStr">
        <is>
          <t>Strapping seals (1000)</t>
        </is>
      </c>
      <c r="C17" t="inlineStr">
        <is>
          <t>box</t>
        </is>
      </c>
      <c r="D17" t="n">
        <v>91</v>
      </c>
      <c r="E17" t="n">
        <v>73</v>
      </c>
      <c r="F17" t="n">
        <v>50</v>
      </c>
    </row>
    <row r="18">
      <c r="A18" t="inlineStr">
        <is>
          <t>ST-7001</t>
        </is>
      </c>
      <c r="B18" t="inlineStr">
        <is>
          <t>Shelf bin small</t>
        </is>
      </c>
      <c r="C18" t="inlineStr">
        <is>
          <t>pcs</t>
        </is>
      </c>
      <c r="D18" t="n">
        <v>359</v>
      </c>
      <c r="E18" t="n">
        <v>50</v>
      </c>
      <c r="F18" t="n">
        <v>60</v>
      </c>
    </row>
    <row r="19">
      <c r="A19" t="inlineStr">
        <is>
          <t>ST-7002</t>
        </is>
      </c>
      <c r="B19" t="inlineStr">
        <is>
          <t>Shelf bin large</t>
        </is>
      </c>
      <c r="C19" t="inlineStr">
        <is>
          <t>pcs</t>
        </is>
      </c>
      <c r="D19" t="n">
        <v>85</v>
      </c>
      <c r="E19" t="n">
        <v>28</v>
      </c>
      <c r="F19" t="n">
        <v>40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9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1" customWidth="1" min="3" max="3"/>
    <col width="10" customWidth="1" min="4" max="4"/>
    <col width="28" customWidth="1" min="5" max="5"/>
    <col width="9" customWidth="1" min="6" max="6"/>
    <col width="8" customWidth="1" min="7" max="7"/>
    <col width="8" customWidth="1" min="8" max="8"/>
    <col width="10" customWidth="1" min="9" max="9"/>
    <col width="15" customWidth="1" min="10" max="10"/>
    <col width="12" customWidth="1" min="11" max="11"/>
    <col width="20" customWidth="1" min="12" max="12"/>
    <col width="26" customWidth="1" min="13" max="13"/>
    <col width="10" customWidth="1" min="14" max="14"/>
  </cols>
  <sheetData>
    <row r="1">
      <c r="A1" s="1" t="inlineStr">
        <is>
          <t>Date</t>
        </is>
      </c>
      <c r="B1" s="1" t="inlineStr">
        <is>
          <t>Doc Type</t>
        </is>
      </c>
      <c r="C1" s="1" t="inlineStr">
        <is>
          <t>Doc No</t>
        </is>
      </c>
      <c r="D1" s="1" t="inlineStr">
        <is>
          <t>SKU</t>
        </is>
      </c>
      <c r="E1" s="1" t="inlineStr">
        <is>
          <t>Description</t>
        </is>
      </c>
      <c r="F1" s="1" t="inlineStr">
        <is>
          <t>Location</t>
        </is>
      </c>
      <c r="G1" s="1" t="inlineStr">
        <is>
          <t>Qty In</t>
        </is>
      </c>
      <c r="H1" s="1" t="inlineStr">
        <is>
          <t>Qty Out</t>
        </is>
      </c>
      <c r="I1" s="1" t="inlineStr">
        <is>
          <t>Entered By</t>
        </is>
      </c>
      <c r="J1" s="1" t="inlineStr">
        <is>
          <t>Running Balance (SKU @ Location)</t>
        </is>
      </c>
      <c r="K1" s="1" t="inlineStr">
        <is>
          <t>Week Starting</t>
        </is>
      </c>
      <c r="L1" s="1" t="inlineStr">
        <is>
          <t>Flag</t>
        </is>
      </c>
      <c r="M1" s="1" t="inlineStr">
        <is>
          <t>Comment</t>
        </is>
      </c>
      <c r="N1" s="1" t="inlineStr">
        <is>
          <t>Flag # (report helper)</t>
        </is>
      </c>
    </row>
    <row r="2">
      <c r="A2" s="2" t="n">
        <v>46307</v>
      </c>
      <c r="B2" t="inlineStr">
        <is>
          <t>GRN</t>
        </is>
      </c>
      <c r="C2" t="inlineStr">
        <is>
          <t>GRN-5101</t>
        </is>
      </c>
      <c r="D2" t="inlineStr">
        <is>
          <t>PK-1003</t>
        </is>
      </c>
      <c r="E2" t="str">
        <f>IFERROR(INDEX(Items!$B$2:$B$19,MATCH(D2,Items!$A$2:$A$19,0)),"? not on Items")</f>
        <v>Stretch film 500mm</v>
      </c>
      <c r="F2" t="inlineStr">
        <is>
          <t>Main</t>
        </is>
      </c>
      <c r="G2" s="3" t="n">
        <v>36</v>
      </c>
      <c r="H2" s="3" t="n">
        <v>0</v>
      </c>
      <c r="I2" t="inlineStr">
        <is>
          <t>Ravi</t>
        </is>
      </c>
      <c r="J2">
        <f>IFERROR(INDEX(IF(F2="Main",Items!$D$2:$D$19,Items!$E$2:$E$19),MATCH(D2,Items!$A$2:$A$19,0)),0)+SUMIFS($G$2:G2,$D$2:D2,D2,$F$2:F2,F2)-SUMIFS($H$2:H2,$D$2:D2,D2,$F$2:F2,F2)</f>
        <v>120</v>
      </c>
      <c r="K2" s="2">
        <f>A2-WEEKDAY(A2,3)</f>
        <v>46307.0</v>
      </c>
      <c r="L2" t="str">
        <f>IF(C2="","MISSING DOC NO",IF(ISNA(MATCH(D2,Items!$A$2:$A$19,0)),"UNKNOWN SKU",IF(COUNTIFS($C$2:$C$400,C2,$D$2:$D$400,D2,$F$2:$F$400,F2,$G$2:$G$400,G2,$H$2:$H$400,H2)&gt;1,"DUPLICATE ENTRY",IF(J2&lt;0,"NEGATIVE BALANCE",IF(AND(B2="TRF",COUNTIFS($C$2:$C$400,C2,$D$2:$D$400,D2)&lt;2),"TRANSFER UNMATCHED",IF(AND(MAX(G2,H2)&gt;=100,IFERROR(IF(G2&gt;0,G2&gt;5*(SUMIFS($G$2:$G$400,$D$2:$D$400,D2)-G2)/(COUNTIFS($D$2:$D$400,D2,$G$2:$G$400,"&gt;0")-1),H2&gt;5*(SUMIFS($H$2:$H$400,$D$2:$D$400,D2)-H2)/(COUNTIFS($D$2:$D$400,D2,$H$2:$H$400,"&gt;0")-1)),FALSE)),"UNUSUAL QTY","OK"))))))</f>
        <v>OK</v>
      </c>
      <c r="N2">
        <f>IF(AND(L2&lt;&gt;"OK",K2=Weekly_Report!$C$4),COUNTIFS($L$2:L2,"&lt;&gt;OK",$K$2:K2,Weekly_Report!$C$4),"")</f>
      </c>
    </row>
    <row r="3">
      <c r="A3" s="2" t="n">
        <v>46307</v>
      </c>
      <c r="B3" t="inlineStr">
        <is>
          <t>DN</t>
        </is>
      </c>
      <c r="C3" t="inlineStr">
        <is>
          <t>DN-8801</t>
        </is>
      </c>
      <c r="D3" t="inlineStr">
        <is>
          <t>PK-1002</t>
        </is>
      </c>
      <c r="E3" t="str">
        <f>IFERROR(INDEX(Items!$B$2:$B$19,MATCH(D3,Items!$A$2:$A$19,0)),"? not on Items")</f>
        <v>Carton box 400x300x300</v>
      </c>
      <c r="F3" t="inlineStr">
        <is>
          <t>Annex</t>
        </is>
      </c>
      <c r="G3" s="3" t="n">
        <v>0</v>
      </c>
      <c r="H3" s="3" t="n">
        <v>24</v>
      </c>
      <c r="I3" t="inlineStr">
        <is>
          <t>Ravi</t>
        </is>
      </c>
      <c r="J3">
        <f>IFERROR(INDEX(IF(F3="Main",Items!$D$2:$D$19,Items!$E$2:$E$19),MATCH(D3,Items!$A$2:$A$19,0)),0)+SUMIFS($G$2:G3,$D$2:D3,D3,$F$2:F3,F3)-SUMIFS($H$2:H3,$D$2:D3,D3,$F$2:F3,F3)</f>
        <v>59</v>
      </c>
      <c r="K3" s="2">
        <f>A3-WEEKDAY(A3,3)</f>
        <v>46307.0</v>
      </c>
      <c r="L3" t="str">
        <f>IF(C3="","MISSING DOC NO",IF(ISNA(MATCH(D3,Items!$A$2:$A$19,0)),"UNKNOWN SKU",IF(COUNTIFS($C$2:$C$400,C3,$D$2:$D$400,D3,$F$2:$F$400,F3,$G$2:$G$400,G3,$H$2:$H$400,H3)&gt;1,"DUPLICATE ENTRY",IF(J3&lt;0,"NEGATIVE BALANCE",IF(AND(B3="TRF",COUNTIFS($C$2:$C$400,C3,$D$2:$D$400,D3)&lt;2),"TRANSFER UNMATCHED",IF(AND(MAX(G3,H3)&gt;=100,IFERROR(IF(G3&gt;0,G3&gt;5*(SUMIFS($G$2:$G$400,$D$2:$D$400,D3)-G3)/(COUNTIFS($D$2:$D$400,D3,$G$2:$G$400,"&gt;0")-1),H3&gt;5*(SUMIFS($H$2:$H$400,$D$2:$D$400,D3)-H3)/(COUNTIFS($D$2:$D$400,D3,$H$2:$H$400,"&gt;0")-1)),FALSE)),"UNUSUAL QTY","OK"))))))</f>
        <v>OK</v>
      </c>
      <c r="N3">
        <f>IF(AND(L3&lt;&gt;"OK",K3=Weekly_Report!$C$4),COUNTIFS($L$2:L3,"&lt;&gt;OK",$K$2:K3,Weekly_Report!$C$4),"")</f>
      </c>
    </row>
    <row r="4">
      <c r="A4" s="2" t="n">
        <v>46307</v>
      </c>
      <c r="B4" t="inlineStr">
        <is>
          <t>DN</t>
        </is>
      </c>
      <c r="C4" t="inlineStr">
        <is>
          <t>DN-8802</t>
        </is>
      </c>
      <c r="D4" t="inlineStr">
        <is>
          <t>HW-6002</t>
        </is>
      </c>
      <c r="E4" t="str">
        <f>IFERROR(INDEX(Items!$B$2:$B$19,MATCH(D4,Items!$A$2:$A$19,0)),"? not on Items")</f>
        <v>Strapping band 12mm</v>
      </c>
      <c r="F4" t="inlineStr">
        <is>
          <t>Annex</t>
        </is>
      </c>
      <c r="G4" s="3" t="n">
        <v>0</v>
      </c>
      <c r="H4" s="3" t="n">
        <v>23</v>
      </c>
      <c r="I4" t="inlineStr">
        <is>
          <t>Ravi</t>
        </is>
      </c>
      <c r="J4">
        <f>IFERROR(INDEX(IF(F4="Main",Items!$D$2:$D$19,Items!$E$2:$E$19),MATCH(D4,Items!$A$2:$A$19,0)),0)+SUMIFS($G$2:G4,$D$2:D4,D4,$F$2:F4,F4)-SUMIFS($H$2:H4,$D$2:D4,D4,$F$2:F4,F4)</f>
        <v>51</v>
      </c>
      <c r="K4" s="2">
        <f>A4-WEEKDAY(A4,3)</f>
        <v>46307.0</v>
      </c>
      <c r="L4" t="str">
        <f>IF(C4="","MISSING DOC NO",IF(ISNA(MATCH(D4,Items!$A$2:$A$19,0)),"UNKNOWN SKU",IF(COUNTIFS($C$2:$C$400,C4,$D$2:$D$400,D4,$F$2:$F$400,F4,$G$2:$G$400,G4,$H$2:$H$400,H4)&gt;1,"DUPLICATE ENTRY",IF(J4&lt;0,"NEGATIVE BALANCE",IF(AND(B4="TRF",COUNTIFS($C$2:$C$400,C4,$D$2:$D$400,D4)&lt;2),"TRANSFER UNMATCHED",IF(AND(MAX(G4,H4)&gt;=100,IFERROR(IF(G4&gt;0,G4&gt;5*(SUMIFS($G$2:$G$400,$D$2:$D$400,D4)-G4)/(COUNTIFS($D$2:$D$400,D4,$G$2:$G$400,"&gt;0")-1),H4&gt;5*(SUMIFS($H$2:$H$400,$D$2:$D$400,D4)-H4)/(COUNTIFS($D$2:$D$400,D4,$H$2:$H$400,"&gt;0")-1)),FALSE)),"UNUSUAL QTY","OK"))))))</f>
        <v>OK</v>
      </c>
      <c r="N4">
        <f>IF(AND(L4&lt;&gt;"OK",K4=Weekly_Report!$C$4),COUNTIFS($L$2:L4,"&lt;&gt;OK",$K$2:K4,Weekly_Report!$C$4),"")</f>
      </c>
    </row>
    <row r="5">
      <c r="A5" s="2" t="n">
        <v>46307</v>
      </c>
      <c r="B5" t="inlineStr">
        <is>
          <t>DN</t>
        </is>
      </c>
      <c r="C5" t="inlineStr">
        <is>
          <t>DN-8803</t>
        </is>
      </c>
      <c r="D5" t="inlineStr">
        <is>
          <t>SF-3001</t>
        </is>
      </c>
      <c r="E5" t="str">
        <f>IFERROR(INDEX(Items!$B$2:$B$19,MATCH(D5,Items!$A$2:$A$19,0)),"? not on Items")</f>
        <v>Safety gloves (pair)</v>
      </c>
      <c r="F5" t="inlineStr">
        <is>
          <t>Main</t>
        </is>
      </c>
      <c r="G5" s="3" t="n">
        <v>0</v>
      </c>
      <c r="H5" s="3" t="n">
        <v>9</v>
      </c>
      <c r="I5" t="inlineStr">
        <is>
          <t>Priya</t>
        </is>
      </c>
      <c r="J5">
        <f>IFERROR(INDEX(IF(F5="Main",Items!$D$2:$D$19,Items!$E$2:$E$19),MATCH(D5,Items!$A$2:$A$19,0)),0)+SUMIFS($G$2:G5,$D$2:D5,D5,$F$2:F5,F5)-SUMIFS($H$2:H5,$D$2:D5,D5,$F$2:F5,F5)</f>
        <v>70</v>
      </c>
      <c r="K5" s="2">
        <f>A5-WEEKDAY(A5,3)</f>
        <v>46307.0</v>
      </c>
      <c r="L5" t="str">
        <f>IF(C5="","MISSING DOC NO",IF(ISNA(MATCH(D5,Items!$A$2:$A$19,0)),"UNKNOWN SKU",IF(COUNTIFS($C$2:$C$400,C5,$D$2:$D$400,D5,$F$2:$F$400,F5,$G$2:$G$400,G5,$H$2:$H$400,H5)&gt;1,"DUPLICATE ENTRY",IF(J5&lt;0,"NEGATIVE BALANCE",IF(AND(B5="TRF",COUNTIFS($C$2:$C$400,C5,$D$2:$D$400,D5)&lt;2),"TRANSFER UNMATCHED",IF(AND(MAX(G5,H5)&gt;=100,IFERROR(IF(G5&gt;0,G5&gt;5*(SUMIFS($G$2:$G$400,$D$2:$D$400,D5)-G5)/(COUNTIFS($D$2:$D$400,D5,$G$2:$G$400,"&gt;0")-1),H5&gt;5*(SUMIFS($H$2:$H$400,$D$2:$D$400,D5)-H5)/(COUNTIFS($D$2:$D$400,D5,$H$2:$H$400,"&gt;0")-1)),FALSE)),"UNUSUAL QTY","OK"))))))</f>
        <v>OK</v>
      </c>
      <c r="N5">
        <f>IF(AND(L5&lt;&gt;"OK",K5=Weekly_Report!$C$4),COUNTIFS($L$2:L5,"&lt;&gt;OK",$K$2:K5,Weekly_Report!$C$4),"")</f>
      </c>
    </row>
    <row r="6">
      <c r="A6" s="2" t="n">
        <v>46307</v>
      </c>
      <c r="B6" t="inlineStr">
        <is>
          <t>DN</t>
        </is>
      </c>
      <c r="C6" t="inlineStr">
        <is>
          <t>DN-8804</t>
        </is>
      </c>
      <c r="D6" t="inlineStr">
        <is>
          <t>LB-4001</t>
        </is>
      </c>
      <c r="E6" t="str">
        <f>IFERROR(INDEX(Items!$B$2:$B$19,MATCH(D6,Items!$A$2:$A$19,0)),"? not on Items")</f>
        <v>Thermal label 100x150</v>
      </c>
      <c r="F6" t="inlineStr">
        <is>
          <t>Annex</t>
        </is>
      </c>
      <c r="G6" s="3" t="n">
        <v>0</v>
      </c>
      <c r="H6" s="3" t="n">
        <v>22</v>
      </c>
      <c r="I6" t="inlineStr">
        <is>
          <t>Ravi</t>
        </is>
      </c>
      <c r="J6">
        <f>IFERROR(INDEX(IF(F6="Main",Items!$D$2:$D$19,Items!$E$2:$E$19),MATCH(D6,Items!$A$2:$A$19,0)),0)+SUMIFS($G$2:G6,$D$2:D6,D6,$F$2:F6,F6)-SUMIFS($H$2:H6,$D$2:D6,D6,$F$2:F6,F6)</f>
        <v>8</v>
      </c>
      <c r="K6" s="2">
        <f>A6-WEEKDAY(A6,3)</f>
        <v>46307.0</v>
      </c>
      <c r="L6" t="str">
        <f>IF(C6="","MISSING DOC NO",IF(ISNA(MATCH(D6,Items!$A$2:$A$19,0)),"UNKNOWN SKU",IF(COUNTIFS($C$2:$C$400,C6,$D$2:$D$400,D6,$F$2:$F$400,F6,$G$2:$G$400,G6,$H$2:$H$400,H6)&gt;1,"DUPLICATE ENTRY",IF(J6&lt;0,"NEGATIVE BALANCE",IF(AND(B6="TRF",COUNTIFS($C$2:$C$400,C6,$D$2:$D$400,D6)&lt;2),"TRANSFER UNMATCHED",IF(AND(MAX(G6,H6)&gt;=100,IFERROR(IF(G6&gt;0,G6&gt;5*(SUMIFS($G$2:$G$400,$D$2:$D$400,D6)-G6)/(COUNTIFS($D$2:$D$400,D6,$G$2:$G$400,"&gt;0")-1),H6&gt;5*(SUMIFS($H$2:$H$400,$D$2:$D$400,D6)-H6)/(COUNTIFS($D$2:$D$400,D6,$H$2:$H$400,"&gt;0")-1)),FALSE)),"UNUSUAL QTY","OK"))))))</f>
        <v>OK</v>
      </c>
      <c r="N6">
        <f>IF(AND(L6&lt;&gt;"OK",K6=Weekly_Report!$C$4),COUNTIFS($L$2:L6,"&lt;&gt;OK",$K$2:K6,Weekly_Report!$C$4),"")</f>
      </c>
    </row>
    <row r="7">
      <c r="A7" s="2" t="n">
        <v>46308</v>
      </c>
      <c r="B7" t="inlineStr">
        <is>
          <t>GRN</t>
        </is>
      </c>
      <c r="C7" t="inlineStr">
        <is>
          <t>GRN-5102</t>
        </is>
      </c>
      <c r="D7" t="inlineStr">
        <is>
          <t>PK-1003</t>
        </is>
      </c>
      <c r="E7" t="str">
        <f>IFERROR(INDEX(Items!$B$2:$B$19,MATCH(D7,Items!$A$2:$A$19,0)),"? not on Items")</f>
        <v>Stretch film 500mm</v>
      </c>
      <c r="F7" t="inlineStr">
        <is>
          <t>Main</t>
        </is>
      </c>
      <c r="G7" s="3" t="n">
        <v>48</v>
      </c>
      <c r="H7" s="3" t="n">
        <v>0</v>
      </c>
      <c r="I7" t="inlineStr">
        <is>
          <t>Priya</t>
        </is>
      </c>
      <c r="J7">
        <f>IFERROR(INDEX(IF(F7="Main",Items!$D$2:$D$19,Items!$E$2:$E$19),MATCH(D7,Items!$A$2:$A$19,0)),0)+SUMIFS($G$2:G7,$D$2:D7,D7,$F$2:F7,F7)-SUMIFS($H$2:H7,$D$2:D7,D7,$F$2:F7,F7)</f>
        <v>168</v>
      </c>
      <c r="K7" s="2">
        <f>A7-WEEKDAY(A7,3)</f>
        <v>46307.0</v>
      </c>
      <c r="L7" t="str">
        <f>IF(C7="","MISSING DOC NO",IF(ISNA(MATCH(D7,Items!$A$2:$A$19,0)),"UNKNOWN SKU",IF(COUNTIFS($C$2:$C$400,C7,$D$2:$D$400,D7,$F$2:$F$400,F7,$G$2:$G$400,G7,$H$2:$H$400,H7)&gt;1,"DUPLICATE ENTRY",IF(J7&lt;0,"NEGATIVE BALANCE",IF(AND(B7="TRF",COUNTIFS($C$2:$C$400,C7,$D$2:$D$400,D7)&lt;2),"TRANSFER UNMATCHED",IF(AND(MAX(G7,H7)&gt;=100,IFERROR(IF(G7&gt;0,G7&gt;5*(SUMIFS($G$2:$G$400,$D$2:$D$400,D7)-G7)/(COUNTIFS($D$2:$D$400,D7,$G$2:$G$400,"&gt;0")-1),H7&gt;5*(SUMIFS($H$2:$H$400,$D$2:$D$400,D7)-H7)/(COUNTIFS($D$2:$D$400,D7,$H$2:$H$400,"&gt;0")-1)),FALSE)),"UNUSUAL QTY","OK"))))))</f>
        <v>OK</v>
      </c>
      <c r="N7">
        <f>IF(AND(L7&lt;&gt;"OK",K7=Weekly_Report!$C$4),COUNTIFS($L$2:L7,"&lt;&gt;OK",$K$2:K7,Weekly_Report!$C$4),"")</f>
      </c>
    </row>
    <row r="8">
      <c r="A8" s="2" t="n">
        <v>46308</v>
      </c>
      <c r="B8" t="inlineStr">
        <is>
          <t>GRN</t>
        </is>
      </c>
      <c r="C8" t="inlineStr">
        <is>
          <t>GRN-5103</t>
        </is>
      </c>
      <c r="D8" t="inlineStr">
        <is>
          <t>HW-6002</t>
        </is>
      </c>
      <c r="E8" t="str">
        <f>IFERROR(INDEX(Items!$B$2:$B$19,MATCH(D8,Items!$A$2:$A$19,0)),"? not on Items")</f>
        <v>Strapping band 12mm</v>
      </c>
      <c r="F8" t="inlineStr">
        <is>
          <t>Main</t>
        </is>
      </c>
      <c r="G8" s="3" t="n">
        <v>48</v>
      </c>
      <c r="H8" s="3" t="n">
        <v>0</v>
      </c>
      <c r="I8" t="inlineStr">
        <is>
          <t>Ravi</t>
        </is>
      </c>
      <c r="J8">
        <f>IFERROR(INDEX(IF(F8="Main",Items!$D$2:$D$19,Items!$E$2:$E$19),MATCH(D8,Items!$A$2:$A$19,0)),0)+SUMIFS($G$2:G8,$D$2:D8,D8,$F$2:F8,F8)-SUMIFS($H$2:H8,$D$2:D8,D8,$F$2:F8,F8)</f>
        <v>429</v>
      </c>
      <c r="K8" s="2">
        <f>A8-WEEKDAY(A8,3)</f>
        <v>46307.0</v>
      </c>
      <c r="L8" t="str">
        <f>IF(C8="","MISSING DOC NO",IF(ISNA(MATCH(D8,Items!$A$2:$A$19,0)),"UNKNOWN SKU",IF(COUNTIFS($C$2:$C$400,C8,$D$2:$D$400,D8,$F$2:$F$400,F8,$G$2:$G$400,G8,$H$2:$H$400,H8)&gt;1,"DUPLICATE ENTRY",IF(J8&lt;0,"NEGATIVE BALANCE",IF(AND(B8="TRF",COUNTIFS($C$2:$C$400,C8,$D$2:$D$400,D8)&lt;2),"TRANSFER UNMATCHED",IF(AND(MAX(G8,H8)&gt;=100,IFERROR(IF(G8&gt;0,G8&gt;5*(SUMIFS($G$2:$G$400,$D$2:$D$400,D8)-G8)/(COUNTIFS($D$2:$D$400,D8,$G$2:$G$400,"&gt;0")-1),H8&gt;5*(SUMIFS($H$2:$H$400,$D$2:$D$400,D8)-H8)/(COUNTIFS($D$2:$D$400,D8,$H$2:$H$400,"&gt;0")-1)),FALSE)),"UNUSUAL QTY","OK"))))))</f>
        <v>OK</v>
      </c>
      <c r="N8">
        <f>IF(AND(L8&lt;&gt;"OK",K8=Weekly_Report!$C$4),COUNTIFS($L$2:L8,"&lt;&gt;OK",$K$2:K8,Weekly_Report!$C$4),"")</f>
      </c>
    </row>
    <row r="9">
      <c r="A9" s="2" t="n">
        <v>46308</v>
      </c>
      <c r="B9" t="inlineStr">
        <is>
          <t>TRF</t>
        </is>
      </c>
      <c r="C9" t="inlineStr">
        <is>
          <t>TRF-301</t>
        </is>
      </c>
      <c r="D9" t="inlineStr">
        <is>
          <t>PK-1005</t>
        </is>
      </c>
      <c r="E9" t="str">
        <f>IFERROR(INDEX(Items!$B$2:$B$19,MATCH(D9,Items!$A$2:$A$19,0)),"? not on Items")</f>
        <v>Bubble wrap 1m x 50m</v>
      </c>
      <c r="F9" t="inlineStr">
        <is>
          <t>Main</t>
        </is>
      </c>
      <c r="G9" s="3" t="n">
        <v>0</v>
      </c>
      <c r="H9" s="3" t="n">
        <v>10</v>
      </c>
      <c r="I9" t="inlineStr">
        <is>
          <t>Ravi</t>
        </is>
      </c>
      <c r="J9">
        <f>IFERROR(INDEX(IF(F9="Main",Items!$D$2:$D$19,Items!$E$2:$E$19),MATCH(D9,Items!$A$2:$A$19,0)),0)+SUMIFS($G$2:G9,$D$2:D9,D9,$F$2:F9,F9)-SUMIFS($H$2:H9,$D$2:D9,D9,$F$2:F9,F9)</f>
        <v>237</v>
      </c>
      <c r="K9" s="2">
        <f>A9-WEEKDAY(A9,3)</f>
        <v>46307.0</v>
      </c>
      <c r="L9" t="str">
        <f>IF(C9="","MISSING DOC NO",IF(ISNA(MATCH(D9,Items!$A$2:$A$19,0)),"UNKNOWN SKU",IF(COUNTIFS($C$2:$C$400,C9,$D$2:$D$400,D9,$F$2:$F$400,F9,$G$2:$G$400,G9,$H$2:$H$400,H9)&gt;1,"DUPLICATE ENTRY",IF(J9&lt;0,"NEGATIVE BALANCE",IF(AND(B9="TRF",COUNTIFS($C$2:$C$400,C9,$D$2:$D$400,D9)&lt;2),"TRANSFER UNMATCHED",IF(AND(MAX(G9,H9)&gt;=100,IFERROR(IF(G9&gt;0,G9&gt;5*(SUMIFS($G$2:$G$400,$D$2:$D$400,D9)-G9)/(COUNTIFS($D$2:$D$400,D9,$G$2:$G$400,"&gt;0")-1),H9&gt;5*(SUMIFS($H$2:$H$400,$D$2:$D$400,D9)-H9)/(COUNTIFS($D$2:$D$400,D9,$H$2:$H$400,"&gt;0")-1)),FALSE)),"UNUSUAL QTY","OK"))))))</f>
        <v>OK</v>
      </c>
      <c r="M9" t="inlineStr">
        <is>
          <t>To Annex</t>
        </is>
      </c>
      <c r="N9">
        <f>IF(AND(L9&lt;&gt;"OK",K9=Weekly_Report!$C$4),COUNTIFS($L$2:L9,"&lt;&gt;OK",$K$2:K9,Weekly_Report!$C$4),"")</f>
      </c>
    </row>
    <row r="10">
      <c r="A10" s="2" t="n">
        <v>46308</v>
      </c>
      <c r="B10" t="inlineStr">
        <is>
          <t>TRF</t>
        </is>
      </c>
      <c r="C10" t="inlineStr">
        <is>
          <t>TRF-301</t>
        </is>
      </c>
      <c r="D10" t="inlineStr">
        <is>
          <t>PK-1005</t>
        </is>
      </c>
      <c r="E10" t="str">
        <f>IFERROR(INDEX(Items!$B$2:$B$19,MATCH(D10,Items!$A$2:$A$19,0)),"? not on Items")</f>
        <v>Bubble wrap 1m x 50m</v>
      </c>
      <c r="F10" t="inlineStr">
        <is>
          <t>Annex</t>
        </is>
      </c>
      <c r="G10" s="3" t="n">
        <v>10</v>
      </c>
      <c r="H10" s="3" t="n">
        <v>0</v>
      </c>
      <c r="I10" t="inlineStr">
        <is>
          <t>Ravi</t>
        </is>
      </c>
      <c r="J10">
        <f>IFERROR(INDEX(IF(F10="Main",Items!$D$2:$D$19,Items!$E$2:$E$19),MATCH(D10,Items!$A$2:$A$19,0)),0)+SUMIFS($G$2:G10,$D$2:D10,D10,$F$2:F10,F10)-SUMIFS($H$2:H10,$D$2:D10,D10,$F$2:F10,F10)</f>
        <v>84</v>
      </c>
      <c r="K10" s="2">
        <f>A10-WEEKDAY(A10,3)</f>
        <v>46307.0</v>
      </c>
      <c r="L10" t="str">
        <f>IF(C10="","MISSING DOC NO",IF(ISNA(MATCH(D10,Items!$A$2:$A$19,0)),"UNKNOWN SKU",IF(COUNTIFS($C$2:$C$400,C10,$D$2:$D$400,D10,$F$2:$F$400,F10,$G$2:$G$400,G10,$H$2:$H$400,H10)&gt;1,"DUPLICATE ENTRY",IF(J10&lt;0,"NEGATIVE BALANCE",IF(AND(B10="TRF",COUNTIFS($C$2:$C$400,C10,$D$2:$D$400,D10)&lt;2),"TRANSFER UNMATCHED",IF(AND(MAX(G10,H10)&gt;=100,IFERROR(IF(G10&gt;0,G10&gt;5*(SUMIFS($G$2:$G$400,$D$2:$D$400,D10)-G10)/(COUNTIFS($D$2:$D$400,D10,$G$2:$G$400,"&gt;0")-1),H10&gt;5*(SUMIFS($H$2:$H$400,$D$2:$D$400,D10)-H10)/(COUNTIFS($D$2:$D$400,D10,$H$2:$H$400,"&gt;0")-1)),FALSE)),"UNUSUAL QTY","OK"))))))</f>
        <v>OK</v>
      </c>
      <c r="M10" t="inlineStr">
        <is>
          <t>From Main</t>
        </is>
      </c>
      <c r="N10">
        <f>IF(AND(L10&lt;&gt;"OK",K10=Weekly_Report!$C$4),COUNTIFS($L$2:L10,"&lt;&gt;OK",$K$2:K10,Weekly_Report!$C$4),"")</f>
      </c>
    </row>
    <row r="11">
      <c r="A11" s="2" t="n">
        <v>46308</v>
      </c>
      <c r="B11" t="inlineStr">
        <is>
          <t>DN</t>
        </is>
      </c>
      <c r="C11" t="inlineStr">
        <is>
          <t>DN-8805</t>
        </is>
      </c>
      <c r="D11" t="inlineStr">
        <is>
          <t>PK-1003</t>
        </is>
      </c>
      <c r="E11" t="str">
        <f>IFERROR(INDEX(Items!$B$2:$B$19,MATCH(D11,Items!$A$2:$A$19,0)),"? not on Items")</f>
        <v>Stretch film 500mm</v>
      </c>
      <c r="F11" t="inlineStr">
        <is>
          <t>Annex</t>
        </is>
      </c>
      <c r="G11" s="3" t="n">
        <v>0</v>
      </c>
      <c r="H11" s="3" t="n">
        <v>4</v>
      </c>
      <c r="I11" t="inlineStr">
        <is>
          <t>Priya</t>
        </is>
      </c>
      <c r="J11">
        <f>IFERROR(INDEX(IF(F11="Main",Items!$D$2:$D$19,Items!$E$2:$E$19),MATCH(D11,Items!$A$2:$A$19,0)),0)+SUMIFS($G$2:G11,$D$2:D11,D11,$F$2:F11,F11)-SUMIFS($H$2:H11,$D$2:D11,D11,$F$2:F11,F11)</f>
        <v>5</v>
      </c>
      <c r="K11" s="2">
        <f>A11-WEEKDAY(A11,3)</f>
        <v>46307.0</v>
      </c>
      <c r="L11" t="str">
        <f>IF(C11="","MISSING DOC NO",IF(ISNA(MATCH(D11,Items!$A$2:$A$19,0)),"UNKNOWN SKU",IF(COUNTIFS($C$2:$C$400,C11,$D$2:$D$400,D11,$F$2:$F$400,F11,$G$2:$G$400,G11,$H$2:$H$400,H11)&gt;1,"DUPLICATE ENTRY",IF(J11&lt;0,"NEGATIVE BALANCE",IF(AND(B11="TRF",COUNTIFS($C$2:$C$400,C11,$D$2:$D$400,D11)&lt;2),"TRANSFER UNMATCHED",IF(AND(MAX(G11,H11)&gt;=100,IFERROR(IF(G11&gt;0,G11&gt;5*(SUMIFS($G$2:$G$400,$D$2:$D$400,D11)-G11)/(COUNTIFS($D$2:$D$400,D11,$G$2:$G$400,"&gt;0")-1),H11&gt;5*(SUMIFS($H$2:$H$400,$D$2:$D$400,D11)-H11)/(COUNTIFS($D$2:$D$400,D11,$H$2:$H$400,"&gt;0")-1)),FALSE)),"UNUSUAL QTY","OK"))))))</f>
        <v>OK</v>
      </c>
      <c r="N11">
        <f>IF(AND(L11&lt;&gt;"OK",K11=Weekly_Report!$C$4),COUNTIFS($L$2:L11,"&lt;&gt;OK",$K$2:K11,Weekly_Report!$C$4),"")</f>
      </c>
    </row>
    <row r="12">
      <c r="A12" s="2" t="n">
        <v>46308</v>
      </c>
      <c r="B12" t="inlineStr">
        <is>
          <t>DN</t>
        </is>
      </c>
      <c r="C12" t="inlineStr">
        <is>
          <t>DN-8806</t>
        </is>
      </c>
      <c r="D12" t="inlineStr">
        <is>
          <t>CL-5001</t>
        </is>
      </c>
      <c r="E12" t="str">
        <f>IFERROR(INDEX(Items!$B$2:$B$19,MATCH(D12,Items!$A$2:$A$19,0)),"? not on Items")</f>
        <v>Floor cleaner 5L</v>
      </c>
      <c r="F12" t="inlineStr">
        <is>
          <t>Annex</t>
        </is>
      </c>
      <c r="G12" s="3" t="n">
        <v>0</v>
      </c>
      <c r="H12" s="3" t="n">
        <v>2</v>
      </c>
      <c r="I12" t="inlineStr">
        <is>
          <t>Priya</t>
        </is>
      </c>
      <c r="J12">
        <f>IFERROR(INDEX(IF(F12="Main",Items!$D$2:$D$19,Items!$E$2:$E$19),MATCH(D12,Items!$A$2:$A$19,0)),0)+SUMIFS($G$2:G12,$D$2:D12,D12,$F$2:F12,F12)-SUMIFS($H$2:H12,$D$2:D12,D12,$F$2:F12,F12)</f>
        <v>5</v>
      </c>
      <c r="K12" s="2">
        <f>A12-WEEKDAY(A12,3)</f>
        <v>46307.0</v>
      </c>
      <c r="L12" t="str">
        <f>IF(C12="","MISSING DOC NO",IF(ISNA(MATCH(D12,Items!$A$2:$A$19,0)),"UNKNOWN SKU",IF(COUNTIFS($C$2:$C$400,C12,$D$2:$D$400,D12,$F$2:$F$400,F12,$G$2:$G$400,G12,$H$2:$H$400,H12)&gt;1,"DUPLICATE ENTRY",IF(J12&lt;0,"NEGATIVE BALANCE",IF(AND(B12="TRF",COUNTIFS($C$2:$C$400,C12,$D$2:$D$400,D12)&lt;2),"TRANSFER UNMATCHED",IF(AND(MAX(G12,H12)&gt;=100,IFERROR(IF(G12&gt;0,G12&gt;5*(SUMIFS($G$2:$G$400,$D$2:$D$400,D12)-G12)/(COUNTIFS($D$2:$D$400,D12,$G$2:$G$400,"&gt;0")-1),H12&gt;5*(SUMIFS($H$2:$H$400,$D$2:$D$400,D12)-H12)/(COUNTIFS($D$2:$D$400,D12,$H$2:$H$400,"&gt;0")-1)),FALSE)),"UNUSUAL QTY","OK"))))))</f>
        <v>OK</v>
      </c>
      <c r="N12">
        <f>IF(AND(L12&lt;&gt;"OK",K12=Weekly_Report!$C$4),COUNTIFS($L$2:L12,"&lt;&gt;OK",$K$2:K12,Weekly_Report!$C$4),"")</f>
      </c>
    </row>
    <row r="13">
      <c r="A13" s="2" t="n">
        <v>46308</v>
      </c>
      <c r="B13" t="inlineStr">
        <is>
          <t>TRF</t>
        </is>
      </c>
      <c r="C13" t="inlineStr">
        <is>
          <t>TRF-302</t>
        </is>
      </c>
      <c r="D13" t="inlineStr">
        <is>
          <t>PK-1003</t>
        </is>
      </c>
      <c r="E13" t="str">
        <f>IFERROR(INDEX(Items!$B$2:$B$19,MATCH(D13,Items!$A$2:$A$19,0)),"? not on Items")</f>
        <v>Stretch film 500mm</v>
      </c>
      <c r="F13" t="inlineStr">
        <is>
          <t>Main</t>
        </is>
      </c>
      <c r="G13" s="3" t="n">
        <v>0</v>
      </c>
      <c r="H13" s="3" t="n">
        <v>30</v>
      </c>
      <c r="I13" t="inlineStr">
        <is>
          <t>Ravi</t>
        </is>
      </c>
      <c r="J13">
        <f>IFERROR(INDEX(IF(F13="Main",Items!$D$2:$D$19,Items!$E$2:$E$19),MATCH(D13,Items!$A$2:$A$19,0)),0)+SUMIFS($G$2:G13,$D$2:D13,D13,$F$2:F13,F13)-SUMIFS($H$2:H13,$D$2:D13,D13,$F$2:F13,F13)</f>
        <v>138</v>
      </c>
      <c r="K13" s="2">
        <f>A13-WEEKDAY(A13,3)</f>
        <v>46307.0</v>
      </c>
      <c r="L13" t="str">
        <f>IF(C13="","MISSING DOC NO",IF(ISNA(MATCH(D13,Items!$A$2:$A$19,0)),"UNKNOWN SKU",IF(COUNTIFS($C$2:$C$400,C13,$D$2:$D$400,D13,$F$2:$F$400,F13,$G$2:$G$400,G13,$H$2:$H$400,H13)&gt;1,"DUPLICATE ENTRY",IF(J13&lt;0,"NEGATIVE BALANCE",IF(AND(B13="TRF",COUNTIFS($C$2:$C$400,C13,$D$2:$D$400,D13)&lt;2),"TRANSFER UNMATCHED",IF(AND(MAX(G13,H13)&gt;=100,IFERROR(IF(G13&gt;0,G13&gt;5*(SUMIFS($G$2:$G$400,$D$2:$D$400,D13)-G13)/(COUNTIFS($D$2:$D$400,D13,$G$2:$G$400,"&gt;0")-1),H13&gt;5*(SUMIFS($H$2:$H$400,$D$2:$D$400,D13)-H13)/(COUNTIFS($D$2:$D$400,D13,$H$2:$H$400,"&gt;0")-1)),FALSE)),"UNUSUAL QTY","OK"))))))</f>
        <v>OK</v>
      </c>
      <c r="M13" t="inlineStr">
        <is>
          <t>To Annex</t>
        </is>
      </c>
      <c r="N13">
        <f>IF(AND(L13&lt;&gt;"OK",K13=Weekly_Report!$C$4),COUNTIFS($L$2:L13,"&lt;&gt;OK",$K$2:K13,Weekly_Report!$C$4),"")</f>
      </c>
    </row>
    <row r="14">
      <c r="A14" s="2" t="n">
        <v>46308</v>
      </c>
      <c r="B14" t="inlineStr">
        <is>
          <t>TRF</t>
        </is>
      </c>
      <c r="C14" t="inlineStr">
        <is>
          <t>TRF-302</t>
        </is>
      </c>
      <c r="D14" t="inlineStr">
        <is>
          <t>PK-1003</t>
        </is>
      </c>
      <c r="E14" t="str">
        <f>IFERROR(INDEX(Items!$B$2:$B$19,MATCH(D14,Items!$A$2:$A$19,0)),"? not on Items")</f>
        <v>Stretch film 500mm</v>
      </c>
      <c r="F14" t="inlineStr">
        <is>
          <t>Annex</t>
        </is>
      </c>
      <c r="G14" s="3" t="n">
        <v>30</v>
      </c>
      <c r="H14" s="3" t="n">
        <v>0</v>
      </c>
      <c r="I14" t="inlineStr">
        <is>
          <t>Ravi</t>
        </is>
      </c>
      <c r="J14">
        <f>IFERROR(INDEX(IF(F14="Main",Items!$D$2:$D$19,Items!$E$2:$E$19),MATCH(D14,Items!$A$2:$A$19,0)),0)+SUMIFS($G$2:G14,$D$2:D14,D14,$F$2:F14,F14)-SUMIFS($H$2:H14,$D$2:D14,D14,$F$2:F14,F14)</f>
        <v>35</v>
      </c>
      <c r="K14" s="2">
        <f>A14-WEEKDAY(A14,3)</f>
        <v>46307.0</v>
      </c>
      <c r="L14" t="str">
        <f>IF(C14="","MISSING DOC NO",IF(ISNA(MATCH(D14,Items!$A$2:$A$19,0)),"UNKNOWN SKU",IF(COUNTIFS($C$2:$C$400,C14,$D$2:$D$400,D14,$F$2:$F$400,F14,$G$2:$G$400,G14,$H$2:$H$400,H14)&gt;1,"DUPLICATE ENTRY",IF(J14&lt;0,"NEGATIVE BALANCE",IF(AND(B14="TRF",COUNTIFS($C$2:$C$400,C14,$D$2:$D$400,D14)&lt;2),"TRANSFER UNMATCHED",IF(AND(MAX(G14,H14)&gt;=100,IFERROR(IF(G14&gt;0,G14&gt;5*(SUMIFS($G$2:$G$400,$D$2:$D$400,D14)-G14)/(COUNTIFS($D$2:$D$400,D14,$G$2:$G$400,"&gt;0")-1),H14&gt;5*(SUMIFS($H$2:$H$400,$D$2:$D$400,D14)-H14)/(COUNTIFS($D$2:$D$400,D14,$H$2:$H$400,"&gt;0")-1)),FALSE)),"UNUSUAL QTY","OK"))))))</f>
        <v>OK</v>
      </c>
      <c r="M14" t="inlineStr">
        <is>
          <t>From Main</t>
        </is>
      </c>
      <c r="N14">
        <f>IF(AND(L14&lt;&gt;"OK",K14=Weekly_Report!$C$4),COUNTIFS($L$2:L14,"&lt;&gt;OK",$K$2:K14,Weekly_Report!$C$4),"")</f>
      </c>
    </row>
    <row r="15">
      <c r="A15" s="2" t="n">
        <v>46308</v>
      </c>
      <c r="B15" t="inlineStr">
        <is>
          <t>TRF</t>
        </is>
      </c>
      <c r="C15" t="inlineStr">
        <is>
          <t>TRF-303</t>
        </is>
      </c>
      <c r="D15" t="inlineStr">
        <is>
          <t>PK-1001</t>
        </is>
      </c>
      <c r="E15" t="str">
        <f>IFERROR(INDEX(Items!$B$2:$B$19,MATCH(D15,Items!$A$2:$A$19,0)),"? not on Items")</f>
        <v>Carton box 600x400x400</v>
      </c>
      <c r="F15" t="inlineStr">
        <is>
          <t>Main</t>
        </is>
      </c>
      <c r="G15" s="3" t="n">
        <v>0</v>
      </c>
      <c r="H15" s="3" t="n">
        <v>10</v>
      </c>
      <c r="I15" t="inlineStr">
        <is>
          <t>Ravi</t>
        </is>
      </c>
      <c r="J15">
        <f>IFERROR(INDEX(IF(F15="Main",Items!$D$2:$D$19,Items!$E$2:$E$19),MATCH(D15,Items!$A$2:$A$19,0)),0)+SUMIFS($G$2:G15,$D$2:D15,D15,$F$2:F15,F15)-SUMIFS($H$2:H15,$D$2:D15,D15,$F$2:F15,F15)</f>
        <v>215</v>
      </c>
      <c r="K15" s="2">
        <f>A15-WEEKDAY(A15,3)</f>
        <v>46307.0</v>
      </c>
      <c r="L15" t="str">
        <f>IF(C15="","MISSING DOC NO",IF(ISNA(MATCH(D15,Items!$A$2:$A$19,0)),"UNKNOWN SKU",IF(COUNTIFS($C$2:$C$400,C15,$D$2:$D$400,D15,$F$2:$F$400,F15,$G$2:$G$400,G15,$H$2:$H$400,H15)&gt;1,"DUPLICATE ENTRY",IF(J15&lt;0,"NEGATIVE BALANCE",IF(AND(B15="TRF",COUNTIFS($C$2:$C$400,C15,$D$2:$D$400,D15)&lt;2),"TRANSFER UNMATCHED",IF(AND(MAX(G15,H15)&gt;=100,IFERROR(IF(G15&gt;0,G15&gt;5*(SUMIFS($G$2:$G$400,$D$2:$D$400,D15)-G15)/(COUNTIFS($D$2:$D$400,D15,$G$2:$G$400,"&gt;0")-1),H15&gt;5*(SUMIFS($H$2:$H$400,$D$2:$D$400,D15)-H15)/(COUNTIFS($D$2:$D$400,D15,$H$2:$H$400,"&gt;0")-1)),FALSE)),"UNUSUAL QTY","OK"))))))</f>
        <v>OK</v>
      </c>
      <c r="M15" t="inlineStr">
        <is>
          <t>To Annex</t>
        </is>
      </c>
      <c r="N15">
        <f>IF(AND(L15&lt;&gt;"OK",K15=Weekly_Report!$C$4),COUNTIFS($L$2:L15,"&lt;&gt;OK",$K$2:K15,Weekly_Report!$C$4),"")</f>
      </c>
    </row>
    <row r="16">
      <c r="A16" s="2" t="n">
        <v>46308</v>
      </c>
      <c r="B16" t="inlineStr">
        <is>
          <t>TRF</t>
        </is>
      </c>
      <c r="C16" t="inlineStr">
        <is>
          <t>TRF-303</t>
        </is>
      </c>
      <c r="D16" t="inlineStr">
        <is>
          <t>PK-1001</t>
        </is>
      </c>
      <c r="E16" t="str">
        <f>IFERROR(INDEX(Items!$B$2:$B$19,MATCH(D16,Items!$A$2:$A$19,0)),"? not on Items")</f>
        <v>Carton box 600x400x400</v>
      </c>
      <c r="F16" t="inlineStr">
        <is>
          <t>Annex</t>
        </is>
      </c>
      <c r="G16" s="3" t="n">
        <v>10</v>
      </c>
      <c r="H16" s="3" t="n">
        <v>0</v>
      </c>
      <c r="I16" t="inlineStr">
        <is>
          <t>Ravi</t>
        </is>
      </c>
      <c r="J16">
        <f>IFERROR(INDEX(IF(F16="Main",Items!$D$2:$D$19,Items!$E$2:$E$19),MATCH(D16,Items!$A$2:$A$19,0)),0)+SUMIFS($G$2:G16,$D$2:D16,D16,$F$2:F16,F16)-SUMIFS($H$2:H16,$D$2:D16,D16,$F$2:F16,F16)</f>
        <v>29</v>
      </c>
      <c r="K16" s="2">
        <f>A16-WEEKDAY(A16,3)</f>
        <v>46307.0</v>
      </c>
      <c r="L16" t="str">
        <f>IF(C16="","MISSING DOC NO",IF(ISNA(MATCH(D16,Items!$A$2:$A$19,0)),"UNKNOWN SKU",IF(COUNTIFS($C$2:$C$400,C16,$D$2:$D$400,D16,$F$2:$F$400,F16,$G$2:$G$400,G16,$H$2:$H$400,H16)&gt;1,"DUPLICATE ENTRY",IF(J16&lt;0,"NEGATIVE BALANCE",IF(AND(B16="TRF",COUNTIFS($C$2:$C$400,C16,$D$2:$D$400,D16)&lt;2),"TRANSFER UNMATCHED",IF(AND(MAX(G16,H16)&gt;=100,IFERROR(IF(G16&gt;0,G16&gt;5*(SUMIFS($G$2:$G$400,$D$2:$D$400,D16)-G16)/(COUNTIFS($D$2:$D$400,D16,$G$2:$G$400,"&gt;0")-1),H16&gt;5*(SUMIFS($H$2:$H$400,$D$2:$D$400,D16)-H16)/(COUNTIFS($D$2:$D$400,D16,$H$2:$H$400,"&gt;0")-1)),FALSE)),"UNUSUAL QTY","OK"))))))</f>
        <v>OK</v>
      </c>
      <c r="M16" t="inlineStr">
        <is>
          <t>From Main</t>
        </is>
      </c>
      <c r="N16">
        <f>IF(AND(L16&lt;&gt;"OK",K16=Weekly_Report!$C$4),COUNTIFS($L$2:L16,"&lt;&gt;OK",$K$2:K16,Weekly_Report!$C$4),"")</f>
      </c>
    </row>
    <row r="17">
      <c r="A17" s="2" t="n">
        <v>46309</v>
      </c>
      <c r="B17" t="inlineStr">
        <is>
          <t>GRN</t>
        </is>
      </c>
      <c r="C17" t="inlineStr">
        <is>
          <t>GRN-5104</t>
        </is>
      </c>
      <c r="D17" t="inlineStr">
        <is>
          <t>HW-6003</t>
        </is>
      </c>
      <c r="E17" t="str">
        <f>IFERROR(INDEX(Items!$B$2:$B$19,MATCH(D17,Items!$A$2:$A$19,0)),"? not on Items")</f>
        <v>Strapping seals (1000)</v>
      </c>
      <c r="F17" t="inlineStr">
        <is>
          <t>Main</t>
        </is>
      </c>
      <c r="G17" s="3" t="n">
        <v>36</v>
      </c>
      <c r="H17" s="3" t="n">
        <v>0</v>
      </c>
      <c r="I17" t="inlineStr">
        <is>
          <t>Ravi</t>
        </is>
      </c>
      <c r="J17">
        <f>IFERROR(INDEX(IF(F17="Main",Items!$D$2:$D$19,Items!$E$2:$E$19),MATCH(D17,Items!$A$2:$A$19,0)),0)+SUMIFS($G$2:G17,$D$2:D17,D17,$F$2:F17,F17)-SUMIFS($H$2:H17,$D$2:D17,D17,$F$2:F17,F17)</f>
        <v>127</v>
      </c>
      <c r="K17" s="2">
        <f>A17-WEEKDAY(A17,3)</f>
        <v>46307.0</v>
      </c>
      <c r="L17" t="str">
        <f>IF(C17="","MISSING DOC NO",IF(ISNA(MATCH(D17,Items!$A$2:$A$19,0)),"UNKNOWN SKU",IF(COUNTIFS($C$2:$C$400,C17,$D$2:$D$400,D17,$F$2:$F$400,F17,$G$2:$G$400,G17,$H$2:$H$400,H17)&gt;1,"DUPLICATE ENTRY",IF(J17&lt;0,"NEGATIVE BALANCE",IF(AND(B17="TRF",COUNTIFS($C$2:$C$400,C17,$D$2:$D$400,D17)&lt;2),"TRANSFER UNMATCHED",IF(AND(MAX(G17,H17)&gt;=100,IFERROR(IF(G17&gt;0,G17&gt;5*(SUMIFS($G$2:$G$400,$D$2:$D$400,D17)-G17)/(COUNTIFS($D$2:$D$400,D17,$G$2:$G$400,"&gt;0")-1),H17&gt;5*(SUMIFS($H$2:$H$400,$D$2:$D$400,D17)-H17)/(COUNTIFS($D$2:$D$400,D17,$H$2:$H$400,"&gt;0")-1)),FALSE)),"UNUSUAL QTY","OK"))))))</f>
        <v>OK</v>
      </c>
      <c r="N17">
        <f>IF(AND(L17&lt;&gt;"OK",K17=Weekly_Report!$C$4),COUNTIFS($L$2:L17,"&lt;&gt;OK",$K$2:K17,Weekly_Report!$C$4),"")</f>
      </c>
    </row>
    <row r="18">
      <c r="A18" s="2" t="n">
        <v>46309</v>
      </c>
      <c r="B18" t="inlineStr">
        <is>
          <t>GRN</t>
        </is>
      </c>
      <c r="C18" t="inlineStr">
        <is>
          <t>GRN-5105</t>
        </is>
      </c>
      <c r="D18" t="inlineStr">
        <is>
          <t>ST-7002</t>
        </is>
      </c>
      <c r="E18" t="str">
        <f>IFERROR(INDEX(Items!$B$2:$B$19,MATCH(D18,Items!$A$2:$A$19,0)),"? not on Items")</f>
        <v>Shelf bin large</v>
      </c>
      <c r="F18" t="inlineStr">
        <is>
          <t>Main</t>
        </is>
      </c>
      <c r="G18" s="3" t="n">
        <v>48</v>
      </c>
      <c r="H18" s="3" t="n">
        <v>0</v>
      </c>
      <c r="I18" t="inlineStr">
        <is>
          <t>Ravi</t>
        </is>
      </c>
      <c r="J18">
        <f>IFERROR(INDEX(IF(F18="Main",Items!$D$2:$D$19,Items!$E$2:$E$19),MATCH(D18,Items!$A$2:$A$19,0)),0)+SUMIFS($G$2:G18,$D$2:D18,D18,$F$2:F18,F18)-SUMIFS($H$2:H18,$D$2:D18,D18,$F$2:F18,F18)</f>
        <v>133</v>
      </c>
      <c r="K18" s="2">
        <f>A18-WEEKDAY(A18,3)</f>
        <v>46307.0</v>
      </c>
      <c r="L18" t="str">
        <f>IF(C18="","MISSING DOC NO",IF(ISNA(MATCH(D18,Items!$A$2:$A$19,0)),"UNKNOWN SKU",IF(COUNTIFS($C$2:$C$400,C18,$D$2:$D$400,D18,$F$2:$F$400,F18,$G$2:$G$400,G18,$H$2:$H$400,H18)&gt;1,"DUPLICATE ENTRY",IF(J18&lt;0,"NEGATIVE BALANCE",IF(AND(B18="TRF",COUNTIFS($C$2:$C$400,C18,$D$2:$D$400,D18)&lt;2),"TRANSFER UNMATCHED",IF(AND(MAX(G18,H18)&gt;=100,IFERROR(IF(G18&gt;0,G18&gt;5*(SUMIFS($G$2:$G$400,$D$2:$D$400,D18)-G18)/(COUNTIFS($D$2:$D$400,D18,$G$2:$G$400,"&gt;0")-1),H18&gt;5*(SUMIFS($H$2:$H$400,$D$2:$D$400,D18)-H18)/(COUNTIFS($D$2:$D$400,D18,$H$2:$H$400,"&gt;0")-1)),FALSE)),"UNUSUAL QTY","OK"))))))</f>
        <v>OK</v>
      </c>
      <c r="N18">
        <f>IF(AND(L18&lt;&gt;"OK",K18=Weekly_Report!$C$4),COUNTIFS($L$2:L18,"&lt;&gt;OK",$K$2:K18,Weekly_Report!$C$4),"")</f>
      </c>
    </row>
    <row r="19">
      <c r="A19" s="2" t="n">
        <v>46309</v>
      </c>
      <c r="B19" t="inlineStr">
        <is>
          <t>DN</t>
        </is>
      </c>
      <c r="C19" t="inlineStr">
        <is>
          <t>DN-8807</t>
        </is>
      </c>
      <c r="D19" t="inlineStr">
        <is>
          <t>SF-3001</t>
        </is>
      </c>
      <c r="E19" t="str">
        <f>IFERROR(INDEX(Items!$B$2:$B$19,MATCH(D19,Items!$A$2:$A$19,0)),"? not on Items")</f>
        <v>Safety gloves (pair)</v>
      </c>
      <c r="F19" t="inlineStr">
        <is>
          <t>Main</t>
        </is>
      </c>
      <c r="G19" s="3" t="n">
        <v>0</v>
      </c>
      <c r="H19" s="3" t="n">
        <v>14</v>
      </c>
      <c r="I19" t="inlineStr">
        <is>
          <t>Ravi</t>
        </is>
      </c>
      <c r="J19">
        <f>IFERROR(INDEX(IF(F19="Main",Items!$D$2:$D$19,Items!$E$2:$E$19),MATCH(D19,Items!$A$2:$A$19,0)),0)+SUMIFS($G$2:G19,$D$2:D19,D19,$F$2:F19,F19)-SUMIFS($H$2:H19,$D$2:D19,D19,$F$2:F19,F19)</f>
        <v>56</v>
      </c>
      <c r="K19" s="2">
        <f>A19-WEEKDAY(A19,3)</f>
        <v>46307.0</v>
      </c>
      <c r="L19" t="str">
        <f>IF(C19="","MISSING DOC NO",IF(ISNA(MATCH(D19,Items!$A$2:$A$19,0)),"UNKNOWN SKU",IF(COUNTIFS($C$2:$C$400,C19,$D$2:$D$400,D19,$F$2:$F$400,F19,$G$2:$G$400,G19,$H$2:$H$400,H19)&gt;1,"DUPLICATE ENTRY",IF(J19&lt;0,"NEGATIVE BALANCE",IF(AND(B19="TRF",COUNTIFS($C$2:$C$400,C19,$D$2:$D$400,D19)&lt;2),"TRANSFER UNMATCHED",IF(AND(MAX(G19,H19)&gt;=100,IFERROR(IF(G19&gt;0,G19&gt;5*(SUMIFS($G$2:$G$400,$D$2:$D$400,D19)-G19)/(COUNTIFS($D$2:$D$400,D19,$G$2:$G$400,"&gt;0")-1),H19&gt;5*(SUMIFS($H$2:$H$400,$D$2:$D$400,D19)-H19)/(COUNTIFS($D$2:$D$400,D19,$H$2:$H$400,"&gt;0")-1)),FALSE)),"UNUSUAL QTY","OK"))))))</f>
        <v>OK</v>
      </c>
      <c r="N19">
        <f>IF(AND(L19&lt;&gt;"OK",K19=Weekly_Report!$C$4),COUNTIFS($L$2:L19,"&lt;&gt;OK",$K$2:K19,Weekly_Report!$C$4),"")</f>
      </c>
    </row>
    <row r="20">
      <c r="A20" s="2" t="n">
        <v>46309</v>
      </c>
      <c r="B20" t="inlineStr">
        <is>
          <t>DN</t>
        </is>
      </c>
      <c r="C20" t="inlineStr">
        <is>
          <t>DN-8808</t>
        </is>
      </c>
      <c r="D20" t="inlineStr">
        <is>
          <t>HW-6002</t>
        </is>
      </c>
      <c r="E20" t="str">
        <f>IFERROR(INDEX(Items!$B$2:$B$19,MATCH(D20,Items!$A$2:$A$19,0)),"? not on Items")</f>
        <v>Strapping band 12mm</v>
      </c>
      <c r="F20" t="inlineStr">
        <is>
          <t>Main</t>
        </is>
      </c>
      <c r="G20" s="3" t="n">
        <v>0</v>
      </c>
      <c r="H20" s="3" t="n">
        <v>31</v>
      </c>
      <c r="I20" t="inlineStr">
        <is>
          <t>Ravi</t>
        </is>
      </c>
      <c r="J20">
        <f>IFERROR(INDEX(IF(F20="Main",Items!$D$2:$D$19,Items!$E$2:$E$19),MATCH(D20,Items!$A$2:$A$19,0)),0)+SUMIFS($G$2:G20,$D$2:D20,D20,$F$2:F20,F20)-SUMIFS($H$2:H20,$D$2:D20,D20,$F$2:F20,F20)</f>
        <v>398</v>
      </c>
      <c r="K20" s="2">
        <f>A20-WEEKDAY(A20,3)</f>
        <v>46307.0</v>
      </c>
      <c r="L20" t="str">
        <f>IF(C20="","MISSING DOC NO",IF(ISNA(MATCH(D20,Items!$A$2:$A$19,0)),"UNKNOWN SKU",IF(COUNTIFS($C$2:$C$400,C20,$D$2:$D$400,D20,$F$2:$F$400,F20,$G$2:$G$400,G20,$H$2:$H$400,H20)&gt;1,"DUPLICATE ENTRY",IF(J20&lt;0,"NEGATIVE BALANCE",IF(AND(B20="TRF",COUNTIFS($C$2:$C$400,C20,$D$2:$D$400,D20)&lt;2),"TRANSFER UNMATCHED",IF(AND(MAX(G20,H20)&gt;=100,IFERROR(IF(G20&gt;0,G20&gt;5*(SUMIFS($G$2:$G$400,$D$2:$D$400,D20)-G20)/(COUNTIFS($D$2:$D$400,D20,$G$2:$G$400,"&gt;0")-1),H20&gt;5*(SUMIFS($H$2:$H$400,$D$2:$D$400,D20)-H20)/(COUNTIFS($D$2:$D$400,D20,$H$2:$H$400,"&gt;0")-1)),FALSE)),"UNUSUAL QTY","OK"))))))</f>
        <v>OK</v>
      </c>
      <c r="N20">
        <f>IF(AND(L20&lt;&gt;"OK",K20=Weekly_Report!$C$4),COUNTIFS($L$2:L20,"&lt;&gt;OK",$K$2:K20,Weekly_Report!$C$4),"")</f>
      </c>
    </row>
    <row r="21">
      <c r="A21" s="2" t="n">
        <v>46309</v>
      </c>
      <c r="B21" t="inlineStr">
        <is>
          <t>TRF</t>
        </is>
      </c>
      <c r="C21" t="inlineStr">
        <is>
          <t>TRF-304</t>
        </is>
      </c>
      <c r="D21" t="inlineStr">
        <is>
          <t>CL-5002</t>
        </is>
      </c>
      <c r="E21" t="str">
        <f>IFERROR(INDEX(Items!$B$2:$B$19,MATCH(D21,Items!$A$2:$A$19,0)),"? not on Items")</f>
        <v>Industrial wipes</v>
      </c>
      <c r="F21" t="inlineStr">
        <is>
          <t>Main</t>
        </is>
      </c>
      <c r="G21" s="3" t="n">
        <v>0</v>
      </c>
      <c r="H21" s="3" t="n">
        <v>10</v>
      </c>
      <c r="I21" t="inlineStr">
        <is>
          <t>Manaz</t>
        </is>
      </c>
      <c r="J21">
        <f>IFERROR(INDEX(IF(F21="Main",Items!$D$2:$D$19,Items!$E$2:$E$19),MATCH(D21,Items!$A$2:$A$19,0)),0)+SUMIFS($G$2:G21,$D$2:D21,D21,$F$2:F21,F21)-SUMIFS($H$2:H21,$D$2:D21,D21,$F$2:F21,F21)</f>
        <v>339</v>
      </c>
      <c r="K21" s="2">
        <f>A21-WEEKDAY(A21,3)</f>
        <v>46307.0</v>
      </c>
      <c r="L21" t="str">
        <f>IF(C21="","MISSING DOC NO",IF(ISNA(MATCH(D21,Items!$A$2:$A$19,0)),"UNKNOWN SKU",IF(COUNTIFS($C$2:$C$400,C21,$D$2:$D$400,D21,$F$2:$F$400,F21,$G$2:$G$400,G21,$H$2:$H$400,H21)&gt;1,"DUPLICATE ENTRY",IF(J21&lt;0,"NEGATIVE BALANCE",IF(AND(B21="TRF",COUNTIFS($C$2:$C$400,C21,$D$2:$D$400,D21)&lt;2),"TRANSFER UNMATCHED",IF(AND(MAX(G21,H21)&gt;=100,IFERROR(IF(G21&gt;0,G21&gt;5*(SUMIFS($G$2:$G$400,$D$2:$D$400,D21)-G21)/(COUNTIFS($D$2:$D$400,D21,$G$2:$G$400,"&gt;0")-1),H21&gt;5*(SUMIFS($H$2:$H$400,$D$2:$D$400,D21)-H21)/(COUNTIFS($D$2:$D$400,D21,$H$2:$H$400,"&gt;0")-1)),FALSE)),"UNUSUAL QTY","OK"))))))</f>
        <v>OK</v>
      </c>
      <c r="M21" t="inlineStr">
        <is>
          <t>To Annex</t>
        </is>
      </c>
      <c r="N21">
        <f>IF(AND(L21&lt;&gt;"OK",K21=Weekly_Report!$C$4),COUNTIFS($L$2:L21,"&lt;&gt;OK",$K$2:K21,Weekly_Report!$C$4),"")</f>
      </c>
    </row>
    <row r="22">
      <c r="A22" s="2" t="n">
        <v>46309</v>
      </c>
      <c r="B22" t="inlineStr">
        <is>
          <t>TRF</t>
        </is>
      </c>
      <c r="C22" t="inlineStr">
        <is>
          <t>TRF-304</t>
        </is>
      </c>
      <c r="D22" t="inlineStr">
        <is>
          <t>CL-5002</t>
        </is>
      </c>
      <c r="E22" t="str">
        <f>IFERROR(INDEX(Items!$B$2:$B$19,MATCH(D22,Items!$A$2:$A$19,0)),"? not on Items")</f>
        <v>Industrial wipes</v>
      </c>
      <c r="F22" t="inlineStr">
        <is>
          <t>Annex</t>
        </is>
      </c>
      <c r="G22" s="3" t="n">
        <v>10</v>
      </c>
      <c r="H22" s="3" t="n">
        <v>0</v>
      </c>
      <c r="I22" t="inlineStr">
        <is>
          <t>Manaz</t>
        </is>
      </c>
      <c r="J22">
        <f>IFERROR(INDEX(IF(F22="Main",Items!$D$2:$D$19,Items!$E$2:$E$19),MATCH(D22,Items!$A$2:$A$19,0)),0)+SUMIFS($G$2:G22,$D$2:D22,D22,$F$2:F22,F22)-SUMIFS($H$2:H22,$D$2:D22,D22,$F$2:F22,F22)</f>
        <v>25</v>
      </c>
      <c r="K22" s="2">
        <f>A22-WEEKDAY(A22,3)</f>
        <v>46307.0</v>
      </c>
      <c r="L22" t="str">
        <f>IF(C22="","MISSING DOC NO",IF(ISNA(MATCH(D22,Items!$A$2:$A$19,0)),"UNKNOWN SKU",IF(COUNTIFS($C$2:$C$400,C22,$D$2:$D$400,D22,$F$2:$F$400,F22,$G$2:$G$400,G22,$H$2:$H$400,H22)&gt;1,"DUPLICATE ENTRY",IF(J22&lt;0,"NEGATIVE BALANCE",IF(AND(B22="TRF",COUNTIFS($C$2:$C$400,C22,$D$2:$D$400,D22)&lt;2),"TRANSFER UNMATCHED",IF(AND(MAX(G22,H22)&gt;=100,IFERROR(IF(G22&gt;0,G22&gt;5*(SUMIFS($G$2:$G$400,$D$2:$D$400,D22)-G22)/(COUNTIFS($D$2:$D$400,D22,$G$2:$G$400,"&gt;0")-1),H22&gt;5*(SUMIFS($H$2:$H$400,$D$2:$D$400,D22)-H22)/(COUNTIFS($D$2:$D$400,D22,$H$2:$H$400,"&gt;0")-1)),FALSE)),"UNUSUAL QTY","OK"))))))</f>
        <v>OK</v>
      </c>
      <c r="M22" t="inlineStr">
        <is>
          <t>From Main</t>
        </is>
      </c>
      <c r="N22">
        <f>IF(AND(L22&lt;&gt;"OK",K22=Weekly_Report!$C$4),COUNTIFS($L$2:L22,"&lt;&gt;OK",$K$2:K22,Weekly_Report!$C$4),"")</f>
      </c>
    </row>
    <row r="23">
      <c r="A23" s="2" t="n">
        <v>46310</v>
      </c>
      <c r="B23" t="inlineStr">
        <is>
          <t>GRN</t>
        </is>
      </c>
      <c r="C23" t="inlineStr">
        <is>
          <t>GRN-5106</t>
        </is>
      </c>
      <c r="D23" t="inlineStr">
        <is>
          <t>PK-1005</t>
        </is>
      </c>
      <c r="E23" t="str">
        <f>IFERROR(INDEX(Items!$B$2:$B$19,MATCH(D23,Items!$A$2:$A$19,0)),"? not on Items")</f>
        <v>Bubble wrap 1m x 50m</v>
      </c>
      <c r="F23" t="inlineStr">
        <is>
          <t>Main</t>
        </is>
      </c>
      <c r="G23" s="3" t="n">
        <v>24</v>
      </c>
      <c r="H23" s="3" t="n">
        <v>0</v>
      </c>
      <c r="I23" t="inlineStr">
        <is>
          <t>Manaz</t>
        </is>
      </c>
      <c r="J23">
        <f>IFERROR(INDEX(IF(F23="Main",Items!$D$2:$D$19,Items!$E$2:$E$19),MATCH(D23,Items!$A$2:$A$19,0)),0)+SUMIFS($G$2:G23,$D$2:D23,D23,$F$2:F23,F23)-SUMIFS($H$2:H23,$D$2:D23,D23,$F$2:F23,F23)</f>
        <v>261</v>
      </c>
      <c r="K23" s="2">
        <f>A23-WEEKDAY(A23,3)</f>
        <v>46307.0</v>
      </c>
      <c r="L23" t="str">
        <f>IF(C23="","MISSING DOC NO",IF(ISNA(MATCH(D23,Items!$A$2:$A$19,0)),"UNKNOWN SKU",IF(COUNTIFS($C$2:$C$400,C23,$D$2:$D$400,D23,$F$2:$F$400,F23,$G$2:$G$400,G23,$H$2:$H$400,H23)&gt;1,"DUPLICATE ENTRY",IF(J23&lt;0,"NEGATIVE BALANCE",IF(AND(B23="TRF",COUNTIFS($C$2:$C$400,C23,$D$2:$D$400,D23)&lt;2),"TRANSFER UNMATCHED",IF(AND(MAX(G23,H23)&gt;=100,IFERROR(IF(G23&gt;0,G23&gt;5*(SUMIFS($G$2:$G$400,$D$2:$D$400,D23)-G23)/(COUNTIFS($D$2:$D$400,D23,$G$2:$G$400,"&gt;0")-1),H23&gt;5*(SUMIFS($H$2:$H$400,$D$2:$D$400,D23)-H23)/(COUNTIFS($D$2:$D$400,D23,$H$2:$H$400,"&gt;0")-1)),FALSE)),"UNUSUAL QTY","OK"))))))</f>
        <v>OK</v>
      </c>
      <c r="N23">
        <f>IF(AND(L23&lt;&gt;"OK",K23=Weekly_Report!$C$4),COUNTIFS($L$2:L23,"&lt;&gt;OK",$K$2:K23,Weekly_Report!$C$4),"")</f>
      </c>
    </row>
    <row r="24">
      <c r="A24" s="2" t="n">
        <v>46310</v>
      </c>
      <c r="B24" t="inlineStr">
        <is>
          <t>GRN</t>
        </is>
      </c>
      <c r="C24" t="inlineStr">
        <is>
          <t>GRN-5107</t>
        </is>
      </c>
      <c r="D24" t="inlineStr">
        <is>
          <t>PK-1001</t>
        </is>
      </c>
      <c r="E24" t="str">
        <f>IFERROR(INDEX(Items!$B$2:$B$19,MATCH(D24,Items!$A$2:$A$19,0)),"? not on Items")</f>
        <v>Carton box 600x400x400</v>
      </c>
      <c r="F24" t="inlineStr">
        <is>
          <t>Main</t>
        </is>
      </c>
      <c r="G24" s="3" t="n">
        <v>48</v>
      </c>
      <c r="H24" s="3" t="n">
        <v>0</v>
      </c>
      <c r="I24" t="inlineStr">
        <is>
          <t>Priya</t>
        </is>
      </c>
      <c r="J24">
        <f>IFERROR(INDEX(IF(F24="Main",Items!$D$2:$D$19,Items!$E$2:$E$19),MATCH(D24,Items!$A$2:$A$19,0)),0)+SUMIFS($G$2:G24,$D$2:D24,D24,$F$2:F24,F24)-SUMIFS($H$2:H24,$D$2:D24,D24,$F$2:F24,F24)</f>
        <v>263</v>
      </c>
      <c r="K24" s="2">
        <f>A24-WEEKDAY(A24,3)</f>
        <v>46307.0</v>
      </c>
      <c r="L24" t="str">
        <f>IF(C24="","MISSING DOC NO",IF(ISNA(MATCH(D24,Items!$A$2:$A$19,0)),"UNKNOWN SKU",IF(COUNTIFS($C$2:$C$400,C24,$D$2:$D$400,D24,$F$2:$F$400,F24,$G$2:$G$400,G24,$H$2:$H$400,H24)&gt;1,"DUPLICATE ENTRY",IF(J24&lt;0,"NEGATIVE BALANCE",IF(AND(B24="TRF",COUNTIFS($C$2:$C$400,C24,$D$2:$D$400,D24)&lt;2),"TRANSFER UNMATCHED",IF(AND(MAX(G24,H24)&gt;=100,IFERROR(IF(G24&gt;0,G24&gt;5*(SUMIFS($G$2:$G$400,$D$2:$D$400,D24)-G24)/(COUNTIFS($D$2:$D$400,D24,$G$2:$G$400,"&gt;0")-1),H24&gt;5*(SUMIFS($H$2:$H$400,$D$2:$D$400,D24)-H24)/(COUNTIFS($D$2:$D$400,D24,$H$2:$H$400,"&gt;0")-1)),FALSE)),"UNUSUAL QTY","OK"))))))</f>
        <v>OK</v>
      </c>
      <c r="N24">
        <f>IF(AND(L24&lt;&gt;"OK",K24=Weekly_Report!$C$4),COUNTIFS($L$2:L24,"&lt;&gt;OK",$K$2:K24,Weekly_Report!$C$4),"")</f>
      </c>
    </row>
    <row r="25">
      <c r="A25" s="2" t="n">
        <v>46310</v>
      </c>
      <c r="B25" t="inlineStr">
        <is>
          <t>DN</t>
        </is>
      </c>
      <c r="C25" t="inlineStr">
        <is>
          <t>DN-8809</t>
        </is>
      </c>
      <c r="D25" t="inlineStr">
        <is>
          <t>HW-6003</t>
        </is>
      </c>
      <c r="E25" t="str">
        <f>IFERROR(INDEX(Items!$B$2:$B$19,MATCH(D25,Items!$A$2:$A$19,0)),"? not on Items")</f>
        <v>Strapping seals (1000)</v>
      </c>
      <c r="F25" t="inlineStr">
        <is>
          <t>Annex</t>
        </is>
      </c>
      <c r="G25" s="3" t="n">
        <v>0</v>
      </c>
      <c r="H25" s="3" t="n">
        <v>22</v>
      </c>
      <c r="I25" t="inlineStr">
        <is>
          <t>Manaz</t>
        </is>
      </c>
      <c r="J25">
        <f>IFERROR(INDEX(IF(F25="Main",Items!$D$2:$D$19,Items!$E$2:$E$19),MATCH(D25,Items!$A$2:$A$19,0)),0)+SUMIFS($G$2:G25,$D$2:D25,D25,$F$2:F25,F25)-SUMIFS($H$2:H25,$D$2:D25,D25,$F$2:F25,F25)</f>
        <v>51</v>
      </c>
      <c r="K25" s="2">
        <f>A25-WEEKDAY(A25,3)</f>
        <v>46307.0</v>
      </c>
      <c r="L25" t="str">
        <f>IF(C25="","MISSING DOC NO",IF(ISNA(MATCH(D25,Items!$A$2:$A$19,0)),"UNKNOWN SKU",IF(COUNTIFS($C$2:$C$400,C25,$D$2:$D$400,D25,$F$2:$F$400,F25,$G$2:$G$400,G25,$H$2:$H$400,H25)&gt;1,"DUPLICATE ENTRY",IF(J25&lt;0,"NEGATIVE BALANCE",IF(AND(B25="TRF",COUNTIFS($C$2:$C$400,C25,$D$2:$D$400,D25)&lt;2),"TRANSFER UNMATCHED",IF(AND(MAX(G25,H25)&gt;=100,IFERROR(IF(G25&gt;0,G25&gt;5*(SUMIFS($G$2:$G$400,$D$2:$D$400,D25)-G25)/(COUNTIFS($D$2:$D$400,D25,$G$2:$G$400,"&gt;0")-1),H25&gt;5*(SUMIFS($H$2:$H$400,$D$2:$D$400,D25)-H25)/(COUNTIFS($D$2:$D$400,D25,$H$2:$H$400,"&gt;0")-1)),FALSE)),"UNUSUAL QTY","OK"))))))</f>
        <v>OK</v>
      </c>
      <c r="N25">
        <f>IF(AND(L25&lt;&gt;"OK",K25=Weekly_Report!$C$4),COUNTIFS($L$2:L25,"&lt;&gt;OK",$K$2:K25,Weekly_Report!$C$4),"")</f>
      </c>
    </row>
    <row r="26">
      <c r="A26" s="2" t="n">
        <v>46310</v>
      </c>
      <c r="B26" t="inlineStr">
        <is>
          <t>TRF</t>
        </is>
      </c>
      <c r="C26" t="inlineStr">
        <is>
          <t>TRF-305</t>
        </is>
      </c>
      <c r="D26" t="inlineStr">
        <is>
          <t>LB-4002</t>
        </is>
      </c>
      <c r="E26" t="str">
        <f>IFERROR(INDEX(Items!$B$2:$B$19,MATCH(D26,Items!$A$2:$A$19,0)),"? not on Items")</f>
        <v>Barcode ribbon 110mm</v>
      </c>
      <c r="F26" t="inlineStr">
        <is>
          <t>Main</t>
        </is>
      </c>
      <c r="G26" s="3" t="n">
        <v>0</v>
      </c>
      <c r="H26" s="3" t="n">
        <v>30</v>
      </c>
      <c r="I26" t="inlineStr">
        <is>
          <t>Priya</t>
        </is>
      </c>
      <c r="J26">
        <f>IFERROR(INDEX(IF(F26="Main",Items!$D$2:$D$19,Items!$E$2:$E$19),MATCH(D26,Items!$A$2:$A$19,0)),0)+SUMIFS($G$2:G26,$D$2:D26,D26,$F$2:F26,F26)-SUMIFS($H$2:H26,$D$2:D26,D26,$F$2:F26,F26)</f>
        <v>76</v>
      </c>
      <c r="K26" s="2">
        <f>A26-WEEKDAY(A26,3)</f>
        <v>46307.0</v>
      </c>
      <c r="L26" t="str">
        <f>IF(C26="","MISSING DOC NO",IF(ISNA(MATCH(D26,Items!$A$2:$A$19,0)),"UNKNOWN SKU",IF(COUNTIFS($C$2:$C$400,C26,$D$2:$D$400,D26,$F$2:$F$400,F26,$G$2:$G$400,G26,$H$2:$H$400,H26)&gt;1,"DUPLICATE ENTRY",IF(J26&lt;0,"NEGATIVE BALANCE",IF(AND(B26="TRF",COUNTIFS($C$2:$C$400,C26,$D$2:$D$400,D26)&lt;2),"TRANSFER UNMATCHED",IF(AND(MAX(G26,H26)&gt;=100,IFERROR(IF(G26&gt;0,G26&gt;5*(SUMIFS($G$2:$G$400,$D$2:$D$400,D26)-G26)/(COUNTIFS($D$2:$D$400,D26,$G$2:$G$400,"&gt;0")-1),H26&gt;5*(SUMIFS($H$2:$H$400,$D$2:$D$400,D26)-H26)/(COUNTIFS($D$2:$D$400,D26,$H$2:$H$400,"&gt;0")-1)),FALSE)),"UNUSUAL QTY","OK"))))))</f>
        <v>OK</v>
      </c>
      <c r="M26" t="inlineStr">
        <is>
          <t>To Annex</t>
        </is>
      </c>
      <c r="N26">
        <f>IF(AND(L26&lt;&gt;"OK",K26=Weekly_Report!$C$4),COUNTIFS($L$2:L26,"&lt;&gt;OK",$K$2:K26,Weekly_Report!$C$4),"")</f>
      </c>
    </row>
    <row r="27">
      <c r="A27" s="2" t="n">
        <v>46310</v>
      </c>
      <c r="B27" t="inlineStr">
        <is>
          <t>TRF</t>
        </is>
      </c>
      <c r="C27" t="inlineStr">
        <is>
          <t>TRF-305</t>
        </is>
      </c>
      <c r="D27" t="inlineStr">
        <is>
          <t>LB-4002</t>
        </is>
      </c>
      <c r="E27" t="str">
        <f>IFERROR(INDEX(Items!$B$2:$B$19,MATCH(D27,Items!$A$2:$A$19,0)),"? not on Items")</f>
        <v>Barcode ribbon 110mm</v>
      </c>
      <c r="F27" t="inlineStr">
        <is>
          <t>Annex</t>
        </is>
      </c>
      <c r="G27" s="3" t="n">
        <v>30</v>
      </c>
      <c r="H27" s="3" t="n">
        <v>0</v>
      </c>
      <c r="I27" t="inlineStr">
        <is>
          <t>Priya</t>
        </is>
      </c>
      <c r="J27">
        <f>IFERROR(INDEX(IF(F27="Main",Items!$D$2:$D$19,Items!$E$2:$E$19),MATCH(D27,Items!$A$2:$A$19,0)),0)+SUMIFS($G$2:G27,$D$2:D27,D27,$F$2:F27,F27)-SUMIFS($H$2:H27,$D$2:D27,D27,$F$2:F27,F27)</f>
        <v>100</v>
      </c>
      <c r="K27" s="2">
        <f>A27-WEEKDAY(A27,3)</f>
        <v>46307.0</v>
      </c>
      <c r="L27" t="str">
        <f>IF(C27="","MISSING DOC NO",IF(ISNA(MATCH(D27,Items!$A$2:$A$19,0)),"UNKNOWN SKU",IF(COUNTIFS($C$2:$C$400,C27,$D$2:$D$400,D27,$F$2:$F$400,F27,$G$2:$G$400,G27,$H$2:$H$400,H27)&gt;1,"DUPLICATE ENTRY",IF(J27&lt;0,"NEGATIVE BALANCE",IF(AND(B27="TRF",COUNTIFS($C$2:$C$400,C27,$D$2:$D$400,D27)&lt;2),"TRANSFER UNMATCHED",IF(AND(MAX(G27,H27)&gt;=100,IFERROR(IF(G27&gt;0,G27&gt;5*(SUMIFS($G$2:$G$400,$D$2:$D$400,D27)-G27)/(COUNTIFS($D$2:$D$400,D27,$G$2:$G$400,"&gt;0")-1),H27&gt;5*(SUMIFS($H$2:$H$400,$D$2:$D$400,D27)-H27)/(COUNTIFS($D$2:$D$400,D27,$H$2:$H$400,"&gt;0")-1)),FALSE)),"UNUSUAL QTY","OK"))))))</f>
        <v>OK</v>
      </c>
      <c r="M27" t="inlineStr">
        <is>
          <t>From Main</t>
        </is>
      </c>
      <c r="N27">
        <f>IF(AND(L27&lt;&gt;"OK",K27=Weekly_Report!$C$4),COUNTIFS($L$2:L27,"&lt;&gt;OK",$K$2:K27,Weekly_Report!$C$4),"")</f>
      </c>
    </row>
    <row r="28">
      <c r="A28" s="2" t="n">
        <v>46310</v>
      </c>
      <c r="B28" t="inlineStr">
        <is>
          <t>DN</t>
        </is>
      </c>
      <c r="C28" t="inlineStr">
        <is>
          <t>DN-8810</t>
        </is>
      </c>
      <c r="D28" t="inlineStr">
        <is>
          <t>PK-1002</t>
        </is>
      </c>
      <c r="E28" t="str">
        <f>IFERROR(INDEX(Items!$B$2:$B$19,MATCH(D28,Items!$A$2:$A$19,0)),"? not on Items")</f>
        <v>Carton box 400x300x300</v>
      </c>
      <c r="F28" t="inlineStr">
        <is>
          <t>Annex</t>
        </is>
      </c>
      <c r="G28" s="3" t="n">
        <v>0</v>
      </c>
      <c r="H28" s="3" t="n">
        <v>29</v>
      </c>
      <c r="I28" t="inlineStr">
        <is>
          <t>Priya</t>
        </is>
      </c>
      <c r="J28">
        <f>IFERROR(INDEX(IF(F28="Main",Items!$D$2:$D$19,Items!$E$2:$E$19),MATCH(D28,Items!$A$2:$A$19,0)),0)+SUMIFS($G$2:G28,$D$2:D28,D28,$F$2:F28,F28)-SUMIFS($H$2:H28,$D$2:D28,D28,$F$2:F28,F28)</f>
        <v>30</v>
      </c>
      <c r="K28" s="2">
        <f>A28-WEEKDAY(A28,3)</f>
        <v>46307.0</v>
      </c>
      <c r="L28" t="str">
        <f>IF(C28="","MISSING DOC NO",IF(ISNA(MATCH(D28,Items!$A$2:$A$19,0)),"UNKNOWN SKU",IF(COUNTIFS($C$2:$C$400,C28,$D$2:$D$400,D28,$F$2:$F$400,F28,$G$2:$G$400,G28,$H$2:$H$400,H28)&gt;1,"DUPLICATE ENTRY",IF(J28&lt;0,"NEGATIVE BALANCE",IF(AND(B28="TRF",COUNTIFS($C$2:$C$400,C28,$D$2:$D$400,D28)&lt;2),"TRANSFER UNMATCHED",IF(AND(MAX(G28,H28)&gt;=100,IFERROR(IF(G28&gt;0,G28&gt;5*(SUMIFS($G$2:$G$400,$D$2:$D$400,D28)-G28)/(COUNTIFS($D$2:$D$400,D28,$G$2:$G$400,"&gt;0")-1),H28&gt;5*(SUMIFS($H$2:$H$400,$D$2:$D$400,D28)-H28)/(COUNTIFS($D$2:$D$400,D28,$H$2:$H$400,"&gt;0")-1)),FALSE)),"UNUSUAL QTY","OK"))))))</f>
        <v>OK</v>
      </c>
      <c r="N28">
        <f>IF(AND(L28&lt;&gt;"OK",K28=Weekly_Report!$C$4),COUNTIFS($L$2:L28,"&lt;&gt;OK",$K$2:K28,Weekly_Report!$C$4),"")</f>
      </c>
    </row>
    <row r="29">
      <c r="A29" s="2" t="n">
        <v>46310</v>
      </c>
      <c r="B29" t="inlineStr">
        <is>
          <t>DN</t>
        </is>
      </c>
      <c r="C29" t="inlineStr">
        <is>
          <t>DN-8811</t>
        </is>
      </c>
      <c r="D29" t="inlineStr">
        <is>
          <t>CL-5002</t>
        </is>
      </c>
      <c r="E29" t="str">
        <f>IFERROR(INDEX(Items!$B$2:$B$19,MATCH(D29,Items!$A$2:$A$19,0)),"? not on Items")</f>
        <v>Industrial wipes</v>
      </c>
      <c r="F29" t="inlineStr">
        <is>
          <t>Annex</t>
        </is>
      </c>
      <c r="G29" s="3" t="n">
        <v>0</v>
      </c>
      <c r="H29" s="3" t="n">
        <v>7</v>
      </c>
      <c r="I29" t="inlineStr">
        <is>
          <t>Ravi</t>
        </is>
      </c>
      <c r="J29">
        <f>IFERROR(INDEX(IF(F29="Main",Items!$D$2:$D$19,Items!$E$2:$E$19),MATCH(D29,Items!$A$2:$A$19,0)),0)+SUMIFS($G$2:G29,$D$2:D29,D29,$F$2:F29,F29)-SUMIFS($H$2:H29,$D$2:D29,D29,$F$2:F29,F29)</f>
        <v>18</v>
      </c>
      <c r="K29" s="2">
        <f>A29-WEEKDAY(A29,3)</f>
        <v>46307.0</v>
      </c>
      <c r="L29" t="str">
        <f>IF(C29="","MISSING DOC NO",IF(ISNA(MATCH(D29,Items!$A$2:$A$19,0)),"UNKNOWN SKU",IF(COUNTIFS($C$2:$C$400,C29,$D$2:$D$400,D29,$F$2:$F$400,F29,$G$2:$G$400,G29,$H$2:$H$400,H29)&gt;1,"DUPLICATE ENTRY",IF(J29&lt;0,"NEGATIVE BALANCE",IF(AND(B29="TRF",COUNTIFS($C$2:$C$400,C29,$D$2:$D$400,D29)&lt;2),"TRANSFER UNMATCHED",IF(AND(MAX(G29,H29)&gt;=100,IFERROR(IF(G29&gt;0,G29&gt;5*(SUMIFS($G$2:$G$400,$D$2:$D$400,D29)-G29)/(COUNTIFS($D$2:$D$400,D29,$G$2:$G$400,"&gt;0")-1),H29&gt;5*(SUMIFS($H$2:$H$400,$D$2:$D$400,D29)-H29)/(COUNTIFS($D$2:$D$400,D29,$H$2:$H$400,"&gt;0")-1)),FALSE)),"UNUSUAL QTY","OK"))))))</f>
        <v>OK</v>
      </c>
      <c r="N29">
        <f>IF(AND(L29&lt;&gt;"OK",K29=Weekly_Report!$C$4),COUNTIFS($L$2:L29,"&lt;&gt;OK",$K$2:K29,Weekly_Report!$C$4),"")</f>
      </c>
    </row>
    <row r="30">
      <c r="A30" s="2" t="n">
        <v>46311</v>
      </c>
      <c r="B30" t="inlineStr">
        <is>
          <t>TRF</t>
        </is>
      </c>
      <c r="C30" t="inlineStr">
        <is>
          <t>TRF-306</t>
        </is>
      </c>
      <c r="D30" t="inlineStr">
        <is>
          <t>PK-1003</t>
        </is>
      </c>
      <c r="E30" t="str">
        <f>IFERROR(INDEX(Items!$B$2:$B$19,MATCH(D30,Items!$A$2:$A$19,0)),"? not on Items")</f>
        <v>Stretch film 500mm</v>
      </c>
      <c r="F30" t="inlineStr">
        <is>
          <t>Main</t>
        </is>
      </c>
      <c r="G30" s="3" t="n">
        <v>0</v>
      </c>
      <c r="H30" s="3" t="n">
        <v>10</v>
      </c>
      <c r="I30" t="inlineStr">
        <is>
          <t>Ravi</t>
        </is>
      </c>
      <c r="J30">
        <f>IFERROR(INDEX(IF(F30="Main",Items!$D$2:$D$19,Items!$E$2:$E$19),MATCH(D30,Items!$A$2:$A$19,0)),0)+SUMIFS($G$2:G30,$D$2:D30,D30,$F$2:F30,F30)-SUMIFS($H$2:H30,$D$2:D30,D30,$F$2:F30,F30)</f>
        <v>128</v>
      </c>
      <c r="K30" s="2">
        <f>A30-WEEKDAY(A30,3)</f>
        <v>46307.0</v>
      </c>
      <c r="L30" t="str">
        <f>IF(C30="","MISSING DOC NO",IF(ISNA(MATCH(D30,Items!$A$2:$A$19,0)),"UNKNOWN SKU",IF(COUNTIFS($C$2:$C$400,C30,$D$2:$D$400,D30,$F$2:$F$400,F30,$G$2:$G$400,G30,$H$2:$H$400,H30)&gt;1,"DUPLICATE ENTRY",IF(J30&lt;0,"NEGATIVE BALANCE",IF(AND(B30="TRF",COUNTIFS($C$2:$C$400,C30,$D$2:$D$400,D30)&lt;2),"TRANSFER UNMATCHED",IF(AND(MAX(G30,H30)&gt;=100,IFERROR(IF(G30&gt;0,G30&gt;5*(SUMIFS($G$2:$G$400,$D$2:$D$400,D30)-G30)/(COUNTIFS($D$2:$D$400,D30,$G$2:$G$400,"&gt;0")-1),H30&gt;5*(SUMIFS($H$2:$H$400,$D$2:$D$400,D30)-H30)/(COUNTIFS($D$2:$D$400,D30,$H$2:$H$400,"&gt;0")-1)),FALSE)),"UNUSUAL QTY","OK"))))))</f>
        <v>OK</v>
      </c>
      <c r="M30" t="inlineStr">
        <is>
          <t>To Annex</t>
        </is>
      </c>
      <c r="N30">
        <f>IF(AND(L30&lt;&gt;"OK",K30=Weekly_Report!$C$4),COUNTIFS($L$2:L30,"&lt;&gt;OK",$K$2:K30,Weekly_Report!$C$4),"")</f>
      </c>
    </row>
    <row r="31">
      <c r="A31" s="2" t="n">
        <v>46311</v>
      </c>
      <c r="B31" t="inlineStr">
        <is>
          <t>TRF</t>
        </is>
      </c>
      <c r="C31" t="inlineStr">
        <is>
          <t>TRF-306</t>
        </is>
      </c>
      <c r="D31" t="inlineStr">
        <is>
          <t>PK-1003</t>
        </is>
      </c>
      <c r="E31" t="str">
        <f>IFERROR(INDEX(Items!$B$2:$B$19,MATCH(D31,Items!$A$2:$A$19,0)),"? not on Items")</f>
        <v>Stretch film 500mm</v>
      </c>
      <c r="F31" t="inlineStr">
        <is>
          <t>Annex</t>
        </is>
      </c>
      <c r="G31" s="3" t="n">
        <v>10</v>
      </c>
      <c r="H31" s="3" t="n">
        <v>0</v>
      </c>
      <c r="I31" t="inlineStr">
        <is>
          <t>Ravi</t>
        </is>
      </c>
      <c r="J31">
        <f>IFERROR(INDEX(IF(F31="Main",Items!$D$2:$D$19,Items!$E$2:$E$19),MATCH(D31,Items!$A$2:$A$19,0)),0)+SUMIFS($G$2:G31,$D$2:D31,D31,$F$2:F31,F31)-SUMIFS($H$2:H31,$D$2:D31,D31,$F$2:F31,F31)</f>
        <v>45</v>
      </c>
      <c r="K31" s="2">
        <f>A31-WEEKDAY(A31,3)</f>
        <v>46307.0</v>
      </c>
      <c r="L31" t="str">
        <f>IF(C31="","MISSING DOC NO",IF(ISNA(MATCH(D31,Items!$A$2:$A$19,0)),"UNKNOWN SKU",IF(COUNTIFS($C$2:$C$400,C31,$D$2:$D$400,D31,$F$2:$F$400,F31,$G$2:$G$400,G31,$H$2:$H$400,H31)&gt;1,"DUPLICATE ENTRY",IF(J31&lt;0,"NEGATIVE BALANCE",IF(AND(B31="TRF",COUNTIFS($C$2:$C$400,C31,$D$2:$D$400,D31)&lt;2),"TRANSFER UNMATCHED",IF(AND(MAX(G31,H31)&gt;=100,IFERROR(IF(G31&gt;0,G31&gt;5*(SUMIFS($G$2:$G$400,$D$2:$D$400,D31)-G31)/(COUNTIFS($D$2:$D$400,D31,$G$2:$G$400,"&gt;0")-1),H31&gt;5*(SUMIFS($H$2:$H$400,$D$2:$D$400,D31)-H31)/(COUNTIFS($D$2:$D$400,D31,$H$2:$H$400,"&gt;0")-1)),FALSE)),"UNUSUAL QTY","OK"))))))</f>
        <v>OK</v>
      </c>
      <c r="M31" t="inlineStr">
        <is>
          <t>From Main</t>
        </is>
      </c>
      <c r="N31">
        <f>IF(AND(L31&lt;&gt;"OK",K31=Weekly_Report!$C$4),COUNTIFS($L$2:L31,"&lt;&gt;OK",$K$2:K31,Weekly_Report!$C$4),"")</f>
      </c>
    </row>
    <row r="32">
      <c r="A32" s="2" t="n">
        <v>46311</v>
      </c>
      <c r="B32" t="inlineStr">
        <is>
          <t>DN</t>
        </is>
      </c>
      <c r="C32" t="inlineStr">
        <is>
          <t>DN-8812</t>
        </is>
      </c>
      <c r="D32" t="inlineStr">
        <is>
          <t>PK-1004</t>
        </is>
      </c>
      <c r="E32" t="str">
        <f>IFERROR(INDEX(Items!$B$2:$B$19,MATCH(D32,Items!$A$2:$A$19,0)),"? not on Items")</f>
        <v>Packing tape 48mm</v>
      </c>
      <c r="F32" t="inlineStr">
        <is>
          <t>Main</t>
        </is>
      </c>
      <c r="G32" s="3" t="n">
        <v>0</v>
      </c>
      <c r="H32" s="3" t="n">
        <v>4</v>
      </c>
      <c r="I32" t="inlineStr">
        <is>
          <t>Manaz</t>
        </is>
      </c>
      <c r="J32">
        <f>IFERROR(INDEX(IF(F32="Main",Items!$D$2:$D$19,Items!$E$2:$E$19),MATCH(D32,Items!$A$2:$A$19,0)),0)+SUMIFS($G$2:G32,$D$2:D32,D32,$F$2:F32,F32)-SUMIFS($H$2:H32,$D$2:D32,D32,$F$2:F32,F32)</f>
        <v>330</v>
      </c>
      <c r="K32" s="2">
        <f>A32-WEEKDAY(A32,3)</f>
        <v>46307.0</v>
      </c>
      <c r="L32" t="str">
        <f>IF(C32="","MISSING DOC NO",IF(ISNA(MATCH(D32,Items!$A$2:$A$19,0)),"UNKNOWN SKU",IF(COUNTIFS($C$2:$C$400,C32,$D$2:$D$400,D32,$F$2:$F$400,F32,$G$2:$G$400,G32,$H$2:$H$400,H32)&gt;1,"DUPLICATE ENTRY",IF(J32&lt;0,"NEGATIVE BALANCE",IF(AND(B32="TRF",COUNTIFS($C$2:$C$400,C32,$D$2:$D$400,D32)&lt;2),"TRANSFER UNMATCHED",IF(AND(MAX(G32,H32)&gt;=100,IFERROR(IF(G32&gt;0,G32&gt;5*(SUMIFS($G$2:$G$400,$D$2:$D$400,D32)-G32)/(COUNTIFS($D$2:$D$400,D32,$G$2:$G$400,"&gt;0")-1),H32&gt;5*(SUMIFS($H$2:$H$400,$D$2:$D$400,D32)-H32)/(COUNTIFS($D$2:$D$400,D32,$H$2:$H$400,"&gt;0")-1)),FALSE)),"UNUSUAL QTY","OK"))))))</f>
        <v>OK</v>
      </c>
      <c r="N32">
        <f>IF(AND(L32&lt;&gt;"OK",K32=Weekly_Report!$C$4),COUNTIFS($L$2:L32,"&lt;&gt;OK",$K$2:K32,Weekly_Report!$C$4),"")</f>
      </c>
    </row>
    <row r="33">
      <c r="A33" s="2" t="n">
        <v>46311</v>
      </c>
      <c r="B33" t="inlineStr">
        <is>
          <t>DN</t>
        </is>
      </c>
      <c r="C33" t="inlineStr">
        <is>
          <t>DN-8813</t>
        </is>
      </c>
      <c r="D33" t="inlineStr">
        <is>
          <t>PK-1005</t>
        </is>
      </c>
      <c r="E33" t="str">
        <f>IFERROR(INDEX(Items!$B$2:$B$19,MATCH(D33,Items!$A$2:$A$19,0)),"? not on Items")</f>
        <v>Bubble wrap 1m x 50m</v>
      </c>
      <c r="F33" t="inlineStr">
        <is>
          <t>Main</t>
        </is>
      </c>
      <c r="G33" s="3" t="n">
        <v>0</v>
      </c>
      <c r="H33" s="3" t="n">
        <v>8</v>
      </c>
      <c r="I33" t="inlineStr">
        <is>
          <t>Ravi</t>
        </is>
      </c>
      <c r="J33">
        <f>IFERROR(INDEX(IF(F33="Main",Items!$D$2:$D$19,Items!$E$2:$E$19),MATCH(D33,Items!$A$2:$A$19,0)),0)+SUMIFS($G$2:G33,$D$2:D33,D33,$F$2:F33,F33)-SUMIFS($H$2:H33,$D$2:D33,D33,$F$2:F33,F33)</f>
        <v>253</v>
      </c>
      <c r="K33" s="2">
        <f>A33-WEEKDAY(A33,3)</f>
        <v>46307.0</v>
      </c>
      <c r="L33" t="str">
        <f>IF(C33="","MISSING DOC NO",IF(ISNA(MATCH(D33,Items!$A$2:$A$19,0)),"UNKNOWN SKU",IF(COUNTIFS($C$2:$C$400,C33,$D$2:$D$400,D33,$F$2:$F$400,F33,$G$2:$G$400,G33,$H$2:$H$400,H33)&gt;1,"DUPLICATE ENTRY",IF(J33&lt;0,"NEGATIVE BALANCE",IF(AND(B33="TRF",COUNTIFS($C$2:$C$400,C33,$D$2:$D$400,D33)&lt;2),"TRANSFER UNMATCHED",IF(AND(MAX(G33,H33)&gt;=100,IFERROR(IF(G33&gt;0,G33&gt;5*(SUMIFS($G$2:$G$400,$D$2:$D$400,D33)-G33)/(COUNTIFS($D$2:$D$400,D33,$G$2:$G$400,"&gt;0")-1),H33&gt;5*(SUMIFS($H$2:$H$400,$D$2:$D$400,D33)-H33)/(COUNTIFS($D$2:$D$400,D33,$H$2:$H$400,"&gt;0")-1)),FALSE)),"UNUSUAL QTY","OK"))))))</f>
        <v>OK</v>
      </c>
      <c r="N33">
        <f>IF(AND(L33&lt;&gt;"OK",K33=Weekly_Report!$C$4),COUNTIFS($L$2:L33,"&lt;&gt;OK",$K$2:K33,Weekly_Report!$C$4),"")</f>
      </c>
    </row>
    <row r="34">
      <c r="A34" s="2" t="n">
        <v>46311</v>
      </c>
      <c r="B34" t="inlineStr">
        <is>
          <t>DN</t>
        </is>
      </c>
      <c r="C34" t="inlineStr">
        <is>
          <t>DN-8814</t>
        </is>
      </c>
      <c r="D34" t="inlineStr">
        <is>
          <t>PL-2002</t>
        </is>
      </c>
      <c r="E34" t="str">
        <f>IFERROR(INDEX(Items!$B$2:$B$19,MATCH(D34,Items!$A$2:$A$19,0)),"? not on Items")</f>
        <v>Wooden pallet 1200x800</v>
      </c>
      <c r="F34" t="inlineStr">
        <is>
          <t>Annex</t>
        </is>
      </c>
      <c r="G34" s="3" t="n">
        <v>0</v>
      </c>
      <c r="H34" s="3" t="n">
        <v>22</v>
      </c>
      <c r="I34" t="inlineStr">
        <is>
          <t>Manaz</t>
        </is>
      </c>
      <c r="J34">
        <f>IFERROR(INDEX(IF(F34="Main",Items!$D$2:$D$19,Items!$E$2:$E$19),MATCH(D34,Items!$A$2:$A$19,0)),0)+SUMIFS($G$2:G34,$D$2:D34,D34,$F$2:F34,F34)-SUMIFS($H$2:H34,$D$2:D34,D34,$F$2:F34,F34)</f>
        <v>5</v>
      </c>
      <c r="K34" s="2">
        <f>A34-WEEKDAY(A34,3)</f>
        <v>46307.0</v>
      </c>
      <c r="L34" t="str">
        <f>IF(C34="","MISSING DOC NO",IF(ISNA(MATCH(D34,Items!$A$2:$A$19,0)),"UNKNOWN SKU",IF(COUNTIFS($C$2:$C$400,C34,$D$2:$D$400,D34,$F$2:$F$400,F34,$G$2:$G$400,G34,$H$2:$H$400,H34)&gt;1,"DUPLICATE ENTRY",IF(J34&lt;0,"NEGATIVE BALANCE",IF(AND(B34="TRF",COUNTIFS($C$2:$C$400,C34,$D$2:$D$400,D34)&lt;2),"TRANSFER UNMATCHED",IF(AND(MAX(G34,H34)&gt;=100,IFERROR(IF(G34&gt;0,G34&gt;5*(SUMIFS($G$2:$G$400,$D$2:$D$400,D34)-G34)/(COUNTIFS($D$2:$D$400,D34,$G$2:$G$400,"&gt;0")-1),H34&gt;5*(SUMIFS($H$2:$H$400,$D$2:$D$400,D34)-H34)/(COUNTIFS($D$2:$D$400,D34,$H$2:$H$400,"&gt;0")-1)),FALSE)),"UNUSUAL QTY","OK"))))))</f>
        <v>OK</v>
      </c>
      <c r="N34">
        <f>IF(AND(L34&lt;&gt;"OK",K34=Weekly_Report!$C$4),COUNTIFS($L$2:L34,"&lt;&gt;OK",$K$2:K34,Weekly_Report!$C$4),"")</f>
      </c>
    </row>
    <row r="35">
      <c r="A35" s="2" t="n">
        <v>46311</v>
      </c>
      <c r="B35" t="inlineStr">
        <is>
          <t>DN</t>
        </is>
      </c>
      <c r="C35" t="inlineStr">
        <is>
          <t>DN-8815</t>
        </is>
      </c>
      <c r="D35" t="inlineStr">
        <is>
          <t>HW-6003</t>
        </is>
      </c>
      <c r="E35" t="str">
        <f>IFERROR(INDEX(Items!$B$2:$B$19,MATCH(D35,Items!$A$2:$A$19,0)),"? not on Items")</f>
        <v>Strapping seals (1000)</v>
      </c>
      <c r="F35" t="inlineStr">
        <is>
          <t>Main</t>
        </is>
      </c>
      <c r="G35" s="3" t="n">
        <v>0</v>
      </c>
      <c r="H35" s="3" t="n">
        <v>10</v>
      </c>
      <c r="I35" t="inlineStr">
        <is>
          <t>Manaz</t>
        </is>
      </c>
      <c r="J35">
        <f>IFERROR(INDEX(IF(F35="Main",Items!$D$2:$D$19,Items!$E$2:$E$19),MATCH(D35,Items!$A$2:$A$19,0)),0)+SUMIFS($G$2:G35,$D$2:D35,D35,$F$2:F35,F35)-SUMIFS($H$2:H35,$D$2:D35,D35,$F$2:F35,F35)</f>
        <v>117</v>
      </c>
      <c r="K35" s="2">
        <f>A35-WEEKDAY(A35,3)</f>
        <v>46307.0</v>
      </c>
      <c r="L35" t="str">
        <f>IF(C35="","MISSING DOC NO",IF(ISNA(MATCH(D35,Items!$A$2:$A$19,0)),"UNKNOWN SKU",IF(COUNTIFS($C$2:$C$400,C35,$D$2:$D$400,D35,$F$2:$F$400,F35,$G$2:$G$400,G35,$H$2:$H$400,H35)&gt;1,"DUPLICATE ENTRY",IF(J35&lt;0,"NEGATIVE BALANCE",IF(AND(B35="TRF",COUNTIFS($C$2:$C$400,C35,$D$2:$D$400,D35)&lt;2),"TRANSFER UNMATCHED",IF(AND(MAX(G35,H35)&gt;=100,IFERROR(IF(G35&gt;0,G35&gt;5*(SUMIFS($G$2:$G$400,$D$2:$D$400,D35)-G35)/(COUNTIFS($D$2:$D$400,D35,$G$2:$G$400,"&gt;0")-1),H35&gt;5*(SUMIFS($H$2:$H$400,$D$2:$D$400,D35)-H35)/(COUNTIFS($D$2:$D$400,D35,$H$2:$H$400,"&gt;0")-1)),FALSE)),"UNUSUAL QTY","OK"))))))</f>
        <v>OK</v>
      </c>
      <c r="N35">
        <f>IF(AND(L35&lt;&gt;"OK",K35=Weekly_Report!$C$4),COUNTIFS($L$2:L35,"&lt;&gt;OK",$K$2:K35,Weekly_Report!$C$4),"")</f>
      </c>
    </row>
    <row r="36">
      <c r="A36" s="2" t="n">
        <v>46312</v>
      </c>
      <c r="B36" t="inlineStr">
        <is>
          <t>GRN</t>
        </is>
      </c>
      <c r="C36" t="inlineStr">
        <is>
          <t>GRN-5108</t>
        </is>
      </c>
      <c r="D36" t="inlineStr">
        <is>
          <t>PK-1001</t>
        </is>
      </c>
      <c r="E36" t="str">
        <f>IFERROR(INDEX(Items!$B$2:$B$19,MATCH(D36,Items!$A$2:$A$19,0)),"? not on Items")</f>
        <v>Carton box 600x400x400</v>
      </c>
      <c r="F36" t="inlineStr">
        <is>
          <t>Main</t>
        </is>
      </c>
      <c r="G36" s="3" t="n">
        <v>48</v>
      </c>
      <c r="H36" s="3" t="n">
        <v>0</v>
      </c>
      <c r="I36" t="inlineStr">
        <is>
          <t>Priya</t>
        </is>
      </c>
      <c r="J36">
        <f>IFERROR(INDEX(IF(F36="Main",Items!$D$2:$D$19,Items!$E$2:$E$19),MATCH(D36,Items!$A$2:$A$19,0)),0)+SUMIFS($G$2:G36,$D$2:D36,D36,$F$2:F36,F36)-SUMIFS($H$2:H36,$D$2:D36,D36,$F$2:F36,F36)</f>
        <v>311</v>
      </c>
      <c r="K36" s="2">
        <f>A36-WEEKDAY(A36,3)</f>
        <v>46307.0</v>
      </c>
      <c r="L36" t="str">
        <f>IF(C36="","MISSING DOC NO",IF(ISNA(MATCH(D36,Items!$A$2:$A$19,0)),"UNKNOWN SKU",IF(COUNTIFS($C$2:$C$400,C36,$D$2:$D$400,D36,$F$2:$F$400,F36,$G$2:$G$400,G36,$H$2:$H$400,H36)&gt;1,"DUPLICATE ENTRY",IF(J36&lt;0,"NEGATIVE BALANCE",IF(AND(B36="TRF",COUNTIFS($C$2:$C$400,C36,$D$2:$D$400,D36)&lt;2),"TRANSFER UNMATCHED",IF(AND(MAX(G36,H36)&gt;=100,IFERROR(IF(G36&gt;0,G36&gt;5*(SUMIFS($G$2:$G$400,$D$2:$D$400,D36)-G36)/(COUNTIFS($D$2:$D$400,D36,$G$2:$G$400,"&gt;0")-1),H36&gt;5*(SUMIFS($H$2:$H$400,$D$2:$D$400,D36)-H36)/(COUNTIFS($D$2:$D$400,D36,$H$2:$H$400,"&gt;0")-1)),FALSE)),"UNUSUAL QTY","OK"))))))</f>
        <v>OK</v>
      </c>
      <c r="N36">
        <f>IF(AND(L36&lt;&gt;"OK",K36=Weekly_Report!$C$4),COUNTIFS($L$2:L36,"&lt;&gt;OK",$K$2:K36,Weekly_Report!$C$4),"")</f>
      </c>
    </row>
    <row r="37">
      <c r="A37" s="2" t="n">
        <v>46312</v>
      </c>
      <c r="B37" t="inlineStr">
        <is>
          <t>DN</t>
        </is>
      </c>
      <c r="C37" t="inlineStr">
        <is>
          <t>DN-8816</t>
        </is>
      </c>
      <c r="D37" t="inlineStr">
        <is>
          <t>SF-3002</t>
        </is>
      </c>
      <c r="E37" t="str">
        <f>IFERROR(INDEX(Items!$B$2:$B$19,MATCH(D37,Items!$A$2:$A$19,0)),"? not on Items")</f>
        <v>Hi-vis vest</v>
      </c>
      <c r="F37" t="inlineStr">
        <is>
          <t>Main</t>
        </is>
      </c>
      <c r="G37" s="3" t="n">
        <v>0</v>
      </c>
      <c r="H37" s="3" t="n">
        <v>37</v>
      </c>
      <c r="I37" t="inlineStr">
        <is>
          <t>Priya</t>
        </is>
      </c>
      <c r="J37">
        <f>IFERROR(INDEX(IF(F37="Main",Items!$D$2:$D$19,Items!$E$2:$E$19),MATCH(D37,Items!$A$2:$A$19,0)),0)+SUMIFS($G$2:G37,$D$2:D37,D37,$F$2:F37,F37)-SUMIFS($H$2:H37,$D$2:D37,D37,$F$2:F37,F37)</f>
        <v>245</v>
      </c>
      <c r="K37" s="2">
        <f>A37-WEEKDAY(A37,3)</f>
        <v>46307.0</v>
      </c>
      <c r="L37" t="str">
        <f>IF(C37="","MISSING DOC NO",IF(ISNA(MATCH(D37,Items!$A$2:$A$19,0)),"UNKNOWN SKU",IF(COUNTIFS($C$2:$C$400,C37,$D$2:$D$400,D37,$F$2:$F$400,F37,$G$2:$G$400,G37,$H$2:$H$400,H37)&gt;1,"DUPLICATE ENTRY",IF(J37&lt;0,"NEGATIVE BALANCE",IF(AND(B37="TRF",COUNTIFS($C$2:$C$400,C37,$D$2:$D$400,D37)&lt;2),"TRANSFER UNMATCHED",IF(AND(MAX(G37,H37)&gt;=100,IFERROR(IF(G37&gt;0,G37&gt;5*(SUMIFS($G$2:$G$400,$D$2:$D$400,D37)-G37)/(COUNTIFS($D$2:$D$400,D37,$G$2:$G$400,"&gt;0")-1),H37&gt;5*(SUMIFS($H$2:$H$400,$D$2:$D$400,D37)-H37)/(COUNTIFS($D$2:$D$400,D37,$H$2:$H$400,"&gt;0")-1)),FALSE)),"UNUSUAL QTY","OK"))))))</f>
        <v>OK</v>
      </c>
      <c r="N37">
        <f>IF(AND(L37&lt;&gt;"OK",K37=Weekly_Report!$C$4),COUNTIFS($L$2:L37,"&lt;&gt;OK",$K$2:K37,Weekly_Report!$C$4),"")</f>
      </c>
    </row>
    <row r="38">
      <c r="A38" s="2" t="n">
        <v>46312</v>
      </c>
      <c r="B38" t="inlineStr">
        <is>
          <t>DN</t>
        </is>
      </c>
      <c r="C38" t="inlineStr">
        <is>
          <t>DN-8817</t>
        </is>
      </c>
      <c r="D38" t="inlineStr">
        <is>
          <t>PK-1005</t>
        </is>
      </c>
      <c r="E38" t="str">
        <f>IFERROR(INDEX(Items!$B$2:$B$19,MATCH(D38,Items!$A$2:$A$19,0)),"? not on Items")</f>
        <v>Bubble wrap 1m x 50m</v>
      </c>
      <c r="F38" t="inlineStr">
        <is>
          <t>Annex</t>
        </is>
      </c>
      <c r="G38" s="3" t="n">
        <v>0</v>
      </c>
      <c r="H38" s="3" t="n">
        <v>9</v>
      </c>
      <c r="I38" t="inlineStr">
        <is>
          <t>Manaz</t>
        </is>
      </c>
      <c r="J38">
        <f>IFERROR(INDEX(IF(F38="Main",Items!$D$2:$D$19,Items!$E$2:$E$19),MATCH(D38,Items!$A$2:$A$19,0)),0)+SUMIFS($G$2:G38,$D$2:D38,D38,$F$2:F38,F38)-SUMIFS($H$2:H38,$D$2:D38,D38,$F$2:F38,F38)</f>
        <v>75</v>
      </c>
      <c r="K38" s="2">
        <f>A38-WEEKDAY(A38,3)</f>
        <v>46307.0</v>
      </c>
      <c r="L38" t="str">
        <f>IF(C38="","MISSING DOC NO",IF(ISNA(MATCH(D38,Items!$A$2:$A$19,0)),"UNKNOWN SKU",IF(COUNTIFS($C$2:$C$400,C38,$D$2:$D$400,D38,$F$2:$F$400,F38,$G$2:$G$400,G38,$H$2:$H$400,H38)&gt;1,"DUPLICATE ENTRY",IF(J38&lt;0,"NEGATIVE BALANCE",IF(AND(B38="TRF",COUNTIFS($C$2:$C$400,C38,$D$2:$D$400,D38)&lt;2),"TRANSFER UNMATCHED",IF(AND(MAX(G38,H38)&gt;=100,IFERROR(IF(G38&gt;0,G38&gt;5*(SUMIFS($G$2:$G$400,$D$2:$D$400,D38)-G38)/(COUNTIFS($D$2:$D$400,D38,$G$2:$G$400,"&gt;0")-1),H38&gt;5*(SUMIFS($H$2:$H$400,$D$2:$D$400,D38)-H38)/(COUNTIFS($D$2:$D$400,D38,$H$2:$H$400,"&gt;0")-1)),FALSE)),"UNUSUAL QTY","OK"))))))</f>
        <v>OK</v>
      </c>
      <c r="N38">
        <f>IF(AND(L38&lt;&gt;"OK",K38=Weekly_Report!$C$4),COUNTIFS($L$2:L38,"&lt;&gt;OK",$K$2:K38,Weekly_Report!$C$4),"")</f>
      </c>
    </row>
    <row r="39">
      <c r="A39" s="2" t="n">
        <v>46312</v>
      </c>
      <c r="B39" t="inlineStr">
        <is>
          <t>DN</t>
        </is>
      </c>
      <c r="C39" t="inlineStr">
        <is>
          <t>DN-8818</t>
        </is>
      </c>
      <c r="D39" t="inlineStr">
        <is>
          <t>SF-3002</t>
        </is>
      </c>
      <c r="E39" t="str">
        <f>IFERROR(INDEX(Items!$B$2:$B$19,MATCH(D39,Items!$A$2:$A$19,0)),"? not on Items")</f>
        <v>Hi-vis vest</v>
      </c>
      <c r="F39" t="inlineStr">
        <is>
          <t>Annex</t>
        </is>
      </c>
      <c r="G39" s="3" t="n">
        <v>0</v>
      </c>
      <c r="H39" s="3" t="n">
        <v>18</v>
      </c>
      <c r="I39" t="inlineStr">
        <is>
          <t>Manaz</t>
        </is>
      </c>
      <c r="J39">
        <f>IFERROR(INDEX(IF(F39="Main",Items!$D$2:$D$19,Items!$E$2:$E$19),MATCH(D39,Items!$A$2:$A$19,0)),0)+SUMIFS($G$2:G39,$D$2:D39,D39,$F$2:F39,F39)-SUMIFS($H$2:H39,$D$2:D39,D39,$F$2:F39,F39)</f>
        <v>35</v>
      </c>
      <c r="K39" s="2">
        <f>A39-WEEKDAY(A39,3)</f>
        <v>46307.0</v>
      </c>
      <c r="L39" t="str">
        <f>IF(C39="","MISSING DOC NO",IF(ISNA(MATCH(D39,Items!$A$2:$A$19,0)),"UNKNOWN SKU",IF(COUNTIFS($C$2:$C$400,C39,$D$2:$D$400,D39,$F$2:$F$400,F39,$G$2:$G$400,G39,$H$2:$H$400,H39)&gt;1,"DUPLICATE ENTRY",IF(J39&lt;0,"NEGATIVE BALANCE",IF(AND(B39="TRF",COUNTIFS($C$2:$C$400,C39,$D$2:$D$400,D39)&lt;2),"TRANSFER UNMATCHED",IF(AND(MAX(G39,H39)&gt;=100,IFERROR(IF(G39&gt;0,G39&gt;5*(SUMIFS($G$2:$G$400,$D$2:$D$400,D39)-G39)/(COUNTIFS($D$2:$D$400,D39,$G$2:$G$400,"&gt;0")-1),H39&gt;5*(SUMIFS($H$2:$H$400,$D$2:$D$400,D39)-H39)/(COUNTIFS($D$2:$D$400,D39,$H$2:$H$400,"&gt;0")-1)),FALSE)),"UNUSUAL QTY","OK"))))))</f>
        <v>OK</v>
      </c>
      <c r="N39">
        <f>IF(AND(L39&lt;&gt;"OK",K39=Weekly_Report!$C$4),COUNTIFS($L$2:L39,"&lt;&gt;OK",$K$2:K39,Weekly_Report!$C$4),"")</f>
      </c>
    </row>
    <row r="40">
      <c r="A40" s="2" t="n">
        <v>46312</v>
      </c>
      <c r="B40" t="inlineStr">
        <is>
          <t>DN</t>
        </is>
      </c>
      <c r="C40" t="inlineStr">
        <is>
          <t>DN-8819</t>
        </is>
      </c>
      <c r="D40" t="inlineStr">
        <is>
          <t>ST-7002</t>
        </is>
      </c>
      <c r="E40" t="str">
        <f>IFERROR(INDEX(Items!$B$2:$B$19,MATCH(D40,Items!$A$2:$A$19,0)),"? not on Items")</f>
        <v>Shelf bin large</v>
      </c>
      <c r="F40" t="inlineStr">
        <is>
          <t>Annex</t>
        </is>
      </c>
      <c r="G40" s="3" t="n">
        <v>0</v>
      </c>
      <c r="H40" s="3" t="n">
        <v>18</v>
      </c>
      <c r="I40" t="inlineStr">
        <is>
          <t>Priya</t>
        </is>
      </c>
      <c r="J40">
        <f>IFERROR(INDEX(IF(F40="Main",Items!$D$2:$D$19,Items!$E$2:$E$19),MATCH(D40,Items!$A$2:$A$19,0)),0)+SUMIFS($G$2:G40,$D$2:D40,D40,$F$2:F40,F40)-SUMIFS($H$2:H40,$D$2:D40,D40,$F$2:F40,F40)</f>
        <v>10</v>
      </c>
      <c r="K40" s="2">
        <f>A40-WEEKDAY(A40,3)</f>
        <v>46307.0</v>
      </c>
      <c r="L40" t="str">
        <f>IF(C40="","MISSING DOC NO",IF(ISNA(MATCH(D40,Items!$A$2:$A$19,0)),"UNKNOWN SKU",IF(COUNTIFS($C$2:$C$400,C40,$D$2:$D$400,D40,$F$2:$F$400,F40,$G$2:$G$400,G40,$H$2:$H$400,H40)&gt;1,"DUPLICATE ENTRY",IF(J40&lt;0,"NEGATIVE BALANCE",IF(AND(B40="TRF",COUNTIFS($C$2:$C$400,C40,$D$2:$D$400,D40)&lt;2),"TRANSFER UNMATCHED",IF(AND(MAX(G40,H40)&gt;=100,IFERROR(IF(G40&gt;0,G40&gt;5*(SUMIFS($G$2:$G$400,$D$2:$D$400,D40)-G40)/(COUNTIFS($D$2:$D$400,D40,$G$2:$G$400,"&gt;0")-1),H40&gt;5*(SUMIFS($H$2:$H$400,$D$2:$D$400,D40)-H40)/(COUNTIFS($D$2:$D$400,D40,$H$2:$H$400,"&gt;0")-1)),FALSE)),"UNUSUAL QTY","OK"))))))</f>
        <v>OK</v>
      </c>
      <c r="N40">
        <f>IF(AND(L40&lt;&gt;"OK",K40=Weekly_Report!$C$4),COUNTIFS($L$2:L40,"&lt;&gt;OK",$K$2:K40,Weekly_Report!$C$4),"")</f>
      </c>
    </row>
    <row r="41">
      <c r="A41" s="2" t="n">
        <v>46312</v>
      </c>
      <c r="B41" t="inlineStr">
        <is>
          <t>DN</t>
        </is>
      </c>
      <c r="C41" t="inlineStr">
        <is>
          <t>DN-8820</t>
        </is>
      </c>
      <c r="D41" t="inlineStr">
        <is>
          <t>PL-2002</t>
        </is>
      </c>
      <c r="E41" t="str">
        <f>IFERROR(INDEX(Items!$B$2:$B$19,MATCH(D41,Items!$A$2:$A$19,0)),"? not on Items")</f>
        <v>Wooden pallet 1200x800</v>
      </c>
      <c r="F41" t="inlineStr">
        <is>
          <t>Main</t>
        </is>
      </c>
      <c r="G41" s="3" t="n">
        <v>0</v>
      </c>
      <c r="H41" s="3" t="n">
        <v>16</v>
      </c>
      <c r="I41" t="inlineStr">
        <is>
          <t>Ravi</t>
        </is>
      </c>
      <c r="J41">
        <f>IFERROR(INDEX(IF(F41="Main",Items!$D$2:$D$19,Items!$E$2:$E$19),MATCH(D41,Items!$A$2:$A$19,0)),0)+SUMIFS($G$2:G41,$D$2:D41,D41,$F$2:F41,F41)-SUMIFS($H$2:H41,$D$2:D41,D41,$F$2:F41,F41)</f>
        <v>303</v>
      </c>
      <c r="K41" s="2">
        <f>A41-WEEKDAY(A41,3)</f>
        <v>46307.0</v>
      </c>
      <c r="L41" t="str">
        <f>IF(C41="","MISSING DOC NO",IF(ISNA(MATCH(D41,Items!$A$2:$A$19,0)),"UNKNOWN SKU",IF(COUNTIFS($C$2:$C$400,C41,$D$2:$D$400,D41,$F$2:$F$400,F41,$G$2:$G$400,G41,$H$2:$H$400,H41)&gt;1,"DUPLICATE ENTRY",IF(J41&lt;0,"NEGATIVE BALANCE",IF(AND(B41="TRF",COUNTIFS($C$2:$C$400,C41,$D$2:$D$400,D41)&lt;2),"TRANSFER UNMATCHED",IF(AND(MAX(G41,H41)&gt;=100,IFERROR(IF(G41&gt;0,G41&gt;5*(SUMIFS($G$2:$G$400,$D$2:$D$400,D41)-G41)/(COUNTIFS($D$2:$D$400,D41,$G$2:$G$400,"&gt;0")-1),H41&gt;5*(SUMIFS($H$2:$H$400,$D$2:$D$400,D41)-H41)/(COUNTIFS($D$2:$D$400,D41,$H$2:$H$400,"&gt;0")-1)),FALSE)),"UNUSUAL QTY","OK"))))))</f>
        <v>OK</v>
      </c>
      <c r="N41">
        <f>IF(AND(L41&lt;&gt;"OK",K41=Weekly_Report!$C$4),COUNTIFS($L$2:L41,"&lt;&gt;OK",$K$2:K41,Weekly_Report!$C$4),"")</f>
      </c>
    </row>
    <row r="42">
      <c r="A42" s="2" t="n">
        <v>46312</v>
      </c>
      <c r="B42" t="inlineStr">
        <is>
          <t>DN</t>
        </is>
      </c>
      <c r="C42" t="inlineStr">
        <is>
          <t>DN-8821</t>
        </is>
      </c>
      <c r="D42" t="inlineStr">
        <is>
          <t>ST-7001</t>
        </is>
      </c>
      <c r="E42" t="str">
        <f>IFERROR(INDEX(Items!$B$2:$B$19,MATCH(D42,Items!$A$2:$A$19,0)),"? not on Items")</f>
        <v>Shelf bin small</v>
      </c>
      <c r="F42" t="inlineStr">
        <is>
          <t>Main</t>
        </is>
      </c>
      <c r="G42" s="3" t="n">
        <v>0</v>
      </c>
      <c r="H42" s="3" t="n">
        <v>5</v>
      </c>
      <c r="I42" t="inlineStr">
        <is>
          <t>Priya</t>
        </is>
      </c>
      <c r="J42">
        <f>IFERROR(INDEX(IF(F42="Main",Items!$D$2:$D$19,Items!$E$2:$E$19),MATCH(D42,Items!$A$2:$A$19,0)),0)+SUMIFS($G$2:G42,$D$2:D42,D42,$F$2:F42,F42)-SUMIFS($H$2:H42,$D$2:D42,D42,$F$2:F42,F42)</f>
        <v>354</v>
      </c>
      <c r="K42" s="2">
        <f>A42-WEEKDAY(A42,3)</f>
        <v>46307.0</v>
      </c>
      <c r="L42" t="str">
        <f>IF(C42="","MISSING DOC NO",IF(ISNA(MATCH(D42,Items!$A$2:$A$19,0)),"UNKNOWN SKU",IF(COUNTIFS($C$2:$C$400,C42,$D$2:$D$400,D42,$F$2:$F$400,F42,$G$2:$G$400,G42,$H$2:$H$400,H42)&gt;1,"DUPLICATE ENTRY",IF(J42&lt;0,"NEGATIVE BALANCE",IF(AND(B42="TRF",COUNTIFS($C$2:$C$400,C42,$D$2:$D$400,D42)&lt;2),"TRANSFER UNMATCHED",IF(AND(MAX(G42,H42)&gt;=100,IFERROR(IF(G42&gt;0,G42&gt;5*(SUMIFS($G$2:$G$400,$D$2:$D$400,D42)-G42)/(COUNTIFS($D$2:$D$400,D42,$G$2:$G$400,"&gt;0")-1),H42&gt;5*(SUMIFS($H$2:$H$400,$D$2:$D$400,D42)-H42)/(COUNTIFS($D$2:$D$400,D42,$H$2:$H$400,"&gt;0")-1)),FALSE)),"UNUSUAL QTY","OK"))))))</f>
        <v>OK</v>
      </c>
      <c r="N42">
        <f>IF(AND(L42&lt;&gt;"OK",K42=Weekly_Report!$C$4),COUNTIFS($L$2:L42,"&lt;&gt;OK",$K$2:K42,Weekly_Report!$C$4),"")</f>
      </c>
    </row>
    <row r="43">
      <c r="A43" s="2" t="n">
        <v>46314</v>
      </c>
      <c r="B43" t="inlineStr">
        <is>
          <t>GRN</t>
        </is>
      </c>
      <c r="C43" t="inlineStr">
        <is>
          <t>GRN-5109</t>
        </is>
      </c>
      <c r="D43" t="inlineStr">
        <is>
          <t>HW-6003</t>
        </is>
      </c>
      <c r="E43" t="str">
        <f>IFERROR(INDEX(Items!$B$2:$B$19,MATCH(D43,Items!$A$2:$A$19,0)),"? not on Items")</f>
        <v>Strapping seals (1000)</v>
      </c>
      <c r="F43" t="inlineStr">
        <is>
          <t>Main</t>
        </is>
      </c>
      <c r="G43" s="3" t="n">
        <v>100</v>
      </c>
      <c r="H43" s="3" t="n">
        <v>0</v>
      </c>
      <c r="I43" t="inlineStr">
        <is>
          <t>Priya</t>
        </is>
      </c>
      <c r="J43">
        <f>IFERROR(INDEX(IF(F43="Main",Items!$D$2:$D$19,Items!$E$2:$E$19),MATCH(D43,Items!$A$2:$A$19,0)),0)+SUMIFS($G$2:G43,$D$2:D43,D43,$F$2:F43,F43)-SUMIFS($H$2:H43,$D$2:D43,D43,$F$2:F43,F43)</f>
        <v>217</v>
      </c>
      <c r="K43" s="2">
        <f>A43-WEEKDAY(A43,3)</f>
        <v>46314.0</v>
      </c>
      <c r="L43" t="str">
        <f>IF(C43="","MISSING DOC NO",IF(ISNA(MATCH(D43,Items!$A$2:$A$19,0)),"UNKNOWN SKU",IF(COUNTIFS($C$2:$C$400,C43,$D$2:$D$400,D43,$F$2:$F$400,F43,$G$2:$G$400,G43,$H$2:$H$400,H43)&gt;1,"DUPLICATE ENTRY",IF(J43&lt;0,"NEGATIVE BALANCE",IF(AND(B43="TRF",COUNTIFS($C$2:$C$400,C43,$D$2:$D$400,D43)&lt;2),"TRANSFER UNMATCHED",IF(AND(MAX(G43,H43)&gt;=100,IFERROR(IF(G43&gt;0,G43&gt;5*(SUMIFS($G$2:$G$400,$D$2:$D$400,D43)-G43)/(COUNTIFS($D$2:$D$400,D43,$G$2:$G$400,"&gt;0")-1),H43&gt;5*(SUMIFS($H$2:$H$400,$D$2:$D$400,D43)-H43)/(COUNTIFS($D$2:$D$400,D43,$H$2:$H$400,"&gt;0")-1)),FALSE)),"UNUSUAL QTY","OK"))))))</f>
        <v>OK</v>
      </c>
      <c r="N43">
        <f>IF(AND(L43&lt;&gt;"OK",K43=Weekly_Report!$C$4),COUNTIFS($L$2:L43,"&lt;&gt;OK",$K$2:K43,Weekly_Report!$C$4),"")</f>
      </c>
    </row>
    <row r="44">
      <c r="A44" s="2" t="n">
        <v>46314</v>
      </c>
      <c r="B44" t="inlineStr">
        <is>
          <t>GRN</t>
        </is>
      </c>
      <c r="C44" t="inlineStr">
        <is>
          <t>GRN-5110</t>
        </is>
      </c>
      <c r="D44" t="inlineStr">
        <is>
          <t>PK-1003</t>
        </is>
      </c>
      <c r="E44" t="str">
        <f>IFERROR(INDEX(Items!$B$2:$B$19,MATCH(D44,Items!$A$2:$A$19,0)),"? not on Items")</f>
        <v>Stretch film 500mm</v>
      </c>
      <c r="F44" t="inlineStr">
        <is>
          <t>Main</t>
        </is>
      </c>
      <c r="G44" s="3" t="n">
        <v>60</v>
      </c>
      <c r="H44" s="3" t="n">
        <v>0</v>
      </c>
      <c r="I44" t="inlineStr">
        <is>
          <t>Manaz</t>
        </is>
      </c>
      <c r="J44">
        <f>IFERROR(INDEX(IF(F44="Main",Items!$D$2:$D$19,Items!$E$2:$E$19),MATCH(D44,Items!$A$2:$A$19,0)),0)+SUMIFS($G$2:G44,$D$2:D44,D44,$F$2:F44,F44)-SUMIFS($H$2:H44,$D$2:D44,D44,$F$2:F44,F44)</f>
        <v>188</v>
      </c>
      <c r="K44" s="2">
        <f>A44-WEEKDAY(A44,3)</f>
        <v>46314.0</v>
      </c>
      <c r="L44" t="str">
        <f>IF(C44="","MISSING DOC NO",IF(ISNA(MATCH(D44,Items!$A$2:$A$19,0)),"UNKNOWN SKU",IF(COUNTIFS($C$2:$C$400,C44,$D$2:$D$400,D44,$F$2:$F$400,F44,$G$2:$G$400,G44,$H$2:$H$400,H44)&gt;1,"DUPLICATE ENTRY",IF(J44&lt;0,"NEGATIVE BALANCE",IF(AND(B44="TRF",COUNTIFS($C$2:$C$400,C44,$D$2:$D$400,D44)&lt;2),"TRANSFER UNMATCHED",IF(AND(MAX(G44,H44)&gt;=100,IFERROR(IF(G44&gt;0,G44&gt;5*(SUMIFS($G$2:$G$400,$D$2:$D$400,D44)-G44)/(COUNTIFS($D$2:$D$400,D44,$G$2:$G$400,"&gt;0")-1),H44&gt;5*(SUMIFS($H$2:$H$400,$D$2:$D$400,D44)-H44)/(COUNTIFS($D$2:$D$400,D44,$H$2:$H$400,"&gt;0")-1)),FALSE)),"UNUSUAL QTY","OK"))))))</f>
        <v>OK</v>
      </c>
      <c r="N44">
        <f>IF(AND(L44&lt;&gt;"OK",K44=Weekly_Report!$C$4),COUNTIFS($L$2:L44,"&lt;&gt;OK",$K$2:K44,Weekly_Report!$C$4),"")</f>
      </c>
    </row>
    <row r="45">
      <c r="A45" s="2" t="n">
        <v>46314</v>
      </c>
      <c r="B45" t="inlineStr">
        <is>
          <t>DN</t>
        </is>
      </c>
      <c r="C45" t="inlineStr">
        <is>
          <t>DN-8822</t>
        </is>
      </c>
      <c r="D45" t="inlineStr">
        <is>
          <t>PL-2002</t>
        </is>
      </c>
      <c r="E45" t="str">
        <f>IFERROR(INDEX(Items!$B$2:$B$19,MATCH(D45,Items!$A$2:$A$19,0)),"? not on Items")</f>
        <v>Wooden pallet 1200x800</v>
      </c>
      <c r="F45" t="inlineStr">
        <is>
          <t>Main</t>
        </is>
      </c>
      <c r="G45" s="3" t="n">
        <v>0</v>
      </c>
      <c r="H45" s="3" t="n">
        <v>34</v>
      </c>
      <c r="I45" t="inlineStr">
        <is>
          <t>Ravi</t>
        </is>
      </c>
      <c r="J45">
        <f>IFERROR(INDEX(IF(F45="Main",Items!$D$2:$D$19,Items!$E$2:$E$19),MATCH(D45,Items!$A$2:$A$19,0)),0)+SUMIFS($G$2:G45,$D$2:D45,D45,$F$2:F45,F45)-SUMIFS($H$2:H45,$D$2:D45,D45,$F$2:F45,F45)</f>
        <v>269</v>
      </c>
      <c r="K45" s="2">
        <f>A45-WEEKDAY(A45,3)</f>
        <v>46314.0</v>
      </c>
      <c r="L45" t="str">
        <f>IF(C45="","MISSING DOC NO",IF(ISNA(MATCH(D45,Items!$A$2:$A$19,0)),"UNKNOWN SKU",IF(COUNTIFS($C$2:$C$400,C45,$D$2:$D$400,D45,$F$2:$F$400,F45,$G$2:$G$400,G45,$H$2:$H$400,H45)&gt;1,"DUPLICATE ENTRY",IF(J45&lt;0,"NEGATIVE BALANCE",IF(AND(B45="TRF",COUNTIFS($C$2:$C$400,C45,$D$2:$D$400,D45)&lt;2),"TRANSFER UNMATCHED",IF(AND(MAX(G45,H45)&gt;=100,IFERROR(IF(G45&gt;0,G45&gt;5*(SUMIFS($G$2:$G$400,$D$2:$D$400,D45)-G45)/(COUNTIFS($D$2:$D$400,D45,$G$2:$G$400,"&gt;0")-1),H45&gt;5*(SUMIFS($H$2:$H$400,$D$2:$D$400,D45)-H45)/(COUNTIFS($D$2:$D$400,D45,$H$2:$H$400,"&gt;0")-1)),FALSE)),"UNUSUAL QTY","OK"))))))</f>
        <v>OK</v>
      </c>
      <c r="N45">
        <f>IF(AND(L45&lt;&gt;"OK",K45=Weekly_Report!$C$4),COUNTIFS($L$2:L45,"&lt;&gt;OK",$K$2:K45,Weekly_Report!$C$4),"")</f>
      </c>
    </row>
    <row r="46">
      <c r="A46" s="2" t="n">
        <v>46314</v>
      </c>
      <c r="B46" t="inlineStr">
        <is>
          <t>DN</t>
        </is>
      </c>
      <c r="C46" t="inlineStr">
        <is>
          <t>DN-8823</t>
        </is>
      </c>
      <c r="D46" t="inlineStr">
        <is>
          <t>CL-5001</t>
        </is>
      </c>
      <c r="E46" t="str">
        <f>IFERROR(INDEX(Items!$B$2:$B$19,MATCH(D46,Items!$A$2:$A$19,0)),"? not on Items")</f>
        <v>Floor cleaner 5L</v>
      </c>
      <c r="F46" t="inlineStr">
        <is>
          <t>Main</t>
        </is>
      </c>
      <c r="G46" s="3" t="n">
        <v>0</v>
      </c>
      <c r="H46" s="3" t="n">
        <v>28</v>
      </c>
      <c r="I46" t="inlineStr">
        <is>
          <t>Manaz</t>
        </is>
      </c>
      <c r="J46">
        <f>IFERROR(INDEX(IF(F46="Main",Items!$D$2:$D$19,Items!$E$2:$E$19),MATCH(D46,Items!$A$2:$A$19,0)),0)+SUMIFS($G$2:G46,$D$2:D46,D46,$F$2:F46,F46)-SUMIFS($H$2:H46,$D$2:D46,D46,$F$2:F46,F46)</f>
        <v>249</v>
      </c>
      <c r="K46" s="2">
        <f>A46-WEEKDAY(A46,3)</f>
        <v>46314.0</v>
      </c>
      <c r="L46" t="str">
        <f>IF(C46="","MISSING DOC NO",IF(ISNA(MATCH(D46,Items!$A$2:$A$19,0)),"UNKNOWN SKU",IF(COUNTIFS($C$2:$C$400,C46,$D$2:$D$400,D46,$F$2:$F$400,F46,$G$2:$G$400,G46,$H$2:$H$400,H46)&gt;1,"DUPLICATE ENTRY",IF(J46&lt;0,"NEGATIVE BALANCE",IF(AND(B46="TRF",COUNTIFS($C$2:$C$400,C46,$D$2:$D$400,D46)&lt;2),"TRANSFER UNMATCHED",IF(AND(MAX(G46,H46)&gt;=100,IFERROR(IF(G46&gt;0,G46&gt;5*(SUMIFS($G$2:$G$400,$D$2:$D$400,D46)-G46)/(COUNTIFS($D$2:$D$400,D46,$G$2:$G$400,"&gt;0")-1),H46&gt;5*(SUMIFS($H$2:$H$400,$D$2:$D$400,D46)-H46)/(COUNTIFS($D$2:$D$400,D46,$H$2:$H$400,"&gt;0")-1)),FALSE)),"UNUSUAL QTY","OK"))))))</f>
        <v>OK</v>
      </c>
      <c r="N46">
        <f>IF(AND(L46&lt;&gt;"OK",K46=Weekly_Report!$C$4),COUNTIFS($L$2:L46,"&lt;&gt;OK",$K$2:K46,Weekly_Report!$C$4),"")</f>
      </c>
    </row>
    <row r="47">
      <c r="A47" s="2" t="n">
        <v>46314</v>
      </c>
      <c r="B47" t="inlineStr">
        <is>
          <t>DN</t>
        </is>
      </c>
      <c r="C47" t="inlineStr">
        <is>
          <t>DN-8824</t>
        </is>
      </c>
      <c r="D47" t="inlineStr">
        <is>
          <t>PK-1003</t>
        </is>
      </c>
      <c r="E47" t="str">
        <f>IFERROR(INDEX(Items!$B$2:$B$19,MATCH(D47,Items!$A$2:$A$19,0)),"? not on Items")</f>
        <v>Stretch film 500mm</v>
      </c>
      <c r="F47" t="inlineStr">
        <is>
          <t>Annex</t>
        </is>
      </c>
      <c r="G47" s="3" t="n">
        <v>0</v>
      </c>
      <c r="H47" s="3" t="n">
        <v>33</v>
      </c>
      <c r="I47" t="inlineStr">
        <is>
          <t>Priya</t>
        </is>
      </c>
      <c r="J47">
        <f>IFERROR(INDEX(IF(F47="Main",Items!$D$2:$D$19,Items!$E$2:$E$19),MATCH(D47,Items!$A$2:$A$19,0)),0)+SUMIFS($G$2:G47,$D$2:D47,D47,$F$2:F47,F47)-SUMIFS($H$2:H47,$D$2:D47,D47,$F$2:F47,F47)</f>
        <v>12</v>
      </c>
      <c r="K47" s="2">
        <f>A47-WEEKDAY(A47,3)</f>
        <v>46314.0</v>
      </c>
      <c r="L47" t="str">
        <f>IF(C47="","MISSING DOC NO",IF(ISNA(MATCH(D47,Items!$A$2:$A$19,0)),"UNKNOWN SKU",IF(COUNTIFS($C$2:$C$400,C47,$D$2:$D$400,D47,$F$2:$F$400,F47,$G$2:$G$400,G47,$H$2:$H$400,H47)&gt;1,"DUPLICATE ENTRY",IF(J47&lt;0,"NEGATIVE BALANCE",IF(AND(B47="TRF",COUNTIFS($C$2:$C$400,C47,$D$2:$D$400,D47)&lt;2),"TRANSFER UNMATCHED",IF(AND(MAX(G47,H47)&gt;=100,IFERROR(IF(G47&gt;0,G47&gt;5*(SUMIFS($G$2:$G$400,$D$2:$D$400,D47)-G47)/(COUNTIFS($D$2:$D$400,D47,$G$2:$G$400,"&gt;0")-1),H47&gt;5*(SUMIFS($H$2:$H$400,$D$2:$D$400,D47)-H47)/(COUNTIFS($D$2:$D$400,D47,$H$2:$H$400,"&gt;0")-1)),FALSE)),"UNUSUAL QTY","OK"))))))</f>
        <v>OK</v>
      </c>
      <c r="N47">
        <f>IF(AND(L47&lt;&gt;"OK",K47=Weekly_Report!$C$4),COUNTIFS($L$2:L47,"&lt;&gt;OK",$K$2:K47,Weekly_Report!$C$4),"")</f>
      </c>
    </row>
    <row r="48">
      <c r="A48" s="2" t="n">
        <v>46315</v>
      </c>
      <c r="B48" t="inlineStr">
        <is>
          <t>GRN</t>
        </is>
      </c>
      <c r="C48" t="inlineStr">
        <is>
          <t>GRN-5111</t>
        </is>
      </c>
      <c r="D48" t="inlineStr">
        <is>
          <t>CL-5001</t>
        </is>
      </c>
      <c r="E48" t="str">
        <f>IFERROR(INDEX(Items!$B$2:$B$19,MATCH(D48,Items!$A$2:$A$19,0)),"? not on Items")</f>
        <v>Floor cleaner 5L</v>
      </c>
      <c r="F48" t="inlineStr">
        <is>
          <t>Main</t>
        </is>
      </c>
      <c r="G48" s="3" t="n">
        <v>36</v>
      </c>
      <c r="H48" s="3" t="n">
        <v>0</v>
      </c>
      <c r="I48" t="inlineStr">
        <is>
          <t>Priya</t>
        </is>
      </c>
      <c r="J48">
        <f>IFERROR(INDEX(IF(F48="Main",Items!$D$2:$D$19,Items!$E$2:$E$19),MATCH(D48,Items!$A$2:$A$19,0)),0)+SUMIFS($G$2:G48,$D$2:D48,D48,$F$2:F48,F48)-SUMIFS($H$2:H48,$D$2:D48,D48,$F$2:F48,F48)</f>
        <v>285</v>
      </c>
      <c r="K48" s="2">
        <f>A48-WEEKDAY(A48,3)</f>
        <v>46314.0</v>
      </c>
      <c r="L48" t="str">
        <f>IF(C48="","MISSING DOC NO",IF(ISNA(MATCH(D48,Items!$A$2:$A$19,0)),"UNKNOWN SKU",IF(COUNTIFS($C$2:$C$400,C48,$D$2:$D$400,D48,$F$2:$F$400,F48,$G$2:$G$400,G48,$H$2:$H$400,H48)&gt;1,"DUPLICATE ENTRY",IF(J48&lt;0,"NEGATIVE BALANCE",IF(AND(B48="TRF",COUNTIFS($C$2:$C$400,C48,$D$2:$D$400,D48)&lt;2),"TRANSFER UNMATCHED",IF(AND(MAX(G48,H48)&gt;=100,IFERROR(IF(G48&gt;0,G48&gt;5*(SUMIFS($G$2:$G$400,$D$2:$D$400,D48)-G48)/(COUNTIFS($D$2:$D$400,D48,$G$2:$G$400,"&gt;0")-1),H48&gt;5*(SUMIFS($H$2:$H$400,$D$2:$D$400,D48)-H48)/(COUNTIFS($D$2:$D$400,D48,$H$2:$H$400,"&gt;0")-1)),FALSE)),"UNUSUAL QTY","OK"))))))</f>
        <v>OK</v>
      </c>
      <c r="N48">
        <f>IF(AND(L48&lt;&gt;"OK",K48=Weekly_Report!$C$4),COUNTIFS($L$2:L48,"&lt;&gt;OK",$K$2:K48,Weekly_Report!$C$4),"")</f>
      </c>
    </row>
    <row r="49">
      <c r="A49" s="2" t="n">
        <v>46315</v>
      </c>
      <c r="B49" t="inlineStr">
        <is>
          <t>GRN</t>
        </is>
      </c>
      <c r="C49" t="inlineStr">
        <is>
          <t>GRN-5112</t>
        </is>
      </c>
      <c r="D49" t="inlineStr">
        <is>
          <t>PK-1001</t>
        </is>
      </c>
      <c r="E49" t="str">
        <f>IFERROR(INDEX(Items!$B$2:$B$19,MATCH(D49,Items!$A$2:$A$19,0)),"? not on Items")</f>
        <v>Carton box 600x400x400</v>
      </c>
      <c r="F49" t="inlineStr">
        <is>
          <t>Main</t>
        </is>
      </c>
      <c r="G49" s="3" t="n">
        <v>24</v>
      </c>
      <c r="H49" s="3" t="n">
        <v>0</v>
      </c>
      <c r="I49" t="inlineStr">
        <is>
          <t>Priya</t>
        </is>
      </c>
      <c r="J49">
        <f>IFERROR(INDEX(IF(F49="Main",Items!$D$2:$D$19,Items!$E$2:$E$19),MATCH(D49,Items!$A$2:$A$19,0)),0)+SUMIFS($G$2:G49,$D$2:D49,D49,$F$2:F49,F49)-SUMIFS($H$2:H49,$D$2:D49,D49,$F$2:F49,F49)</f>
        <v>335</v>
      </c>
      <c r="K49" s="2">
        <f>A49-WEEKDAY(A49,3)</f>
        <v>46314.0</v>
      </c>
      <c r="L49" t="str">
        <f>IF(C49="","MISSING DOC NO",IF(ISNA(MATCH(D49,Items!$A$2:$A$19,0)),"UNKNOWN SKU",IF(COUNTIFS($C$2:$C$400,C49,$D$2:$D$400,D49,$F$2:$F$400,F49,$G$2:$G$400,G49,$H$2:$H$400,H49)&gt;1,"DUPLICATE ENTRY",IF(J49&lt;0,"NEGATIVE BALANCE",IF(AND(B49="TRF",COUNTIFS($C$2:$C$400,C49,$D$2:$D$400,D49)&lt;2),"TRANSFER UNMATCHED",IF(AND(MAX(G49,H49)&gt;=100,IFERROR(IF(G49&gt;0,G49&gt;5*(SUMIFS($G$2:$G$400,$D$2:$D$400,D49)-G49)/(COUNTIFS($D$2:$D$400,D49,$G$2:$G$400,"&gt;0")-1),H49&gt;5*(SUMIFS($H$2:$H$400,$D$2:$D$400,D49)-H49)/(COUNTIFS($D$2:$D$400,D49,$H$2:$H$400,"&gt;0")-1)),FALSE)),"UNUSUAL QTY","OK"))))))</f>
        <v>OK</v>
      </c>
      <c r="N49">
        <f>IF(AND(L49&lt;&gt;"OK",K49=Weekly_Report!$C$4),COUNTIFS($L$2:L49,"&lt;&gt;OK",$K$2:K49,Weekly_Report!$C$4),"")</f>
      </c>
    </row>
    <row r="50">
      <c r="A50" s="2" t="n">
        <v>46315</v>
      </c>
      <c r="B50" t="inlineStr">
        <is>
          <t>GRN</t>
        </is>
      </c>
      <c r="C50" t="inlineStr">
        <is>
          <t>GRN-5113</t>
        </is>
      </c>
      <c r="D50" t="inlineStr">
        <is>
          <t>PL-2002</t>
        </is>
      </c>
      <c r="E50" t="str">
        <f>IFERROR(INDEX(Items!$B$2:$B$19,MATCH(D50,Items!$A$2:$A$19,0)),"? not on Items")</f>
        <v>Wooden pallet 1200x800</v>
      </c>
      <c r="F50" t="inlineStr">
        <is>
          <t>Main</t>
        </is>
      </c>
      <c r="G50" s="3" t="n">
        <v>48</v>
      </c>
      <c r="H50" s="3" t="n">
        <v>0</v>
      </c>
      <c r="I50" t="inlineStr">
        <is>
          <t>Manaz</t>
        </is>
      </c>
      <c r="J50">
        <f>IFERROR(INDEX(IF(F50="Main",Items!$D$2:$D$19,Items!$E$2:$E$19),MATCH(D50,Items!$A$2:$A$19,0)),0)+SUMIFS($G$2:G50,$D$2:D50,D50,$F$2:F50,F50)-SUMIFS($H$2:H50,$D$2:D50,D50,$F$2:F50,F50)</f>
        <v>317</v>
      </c>
      <c r="K50" s="2">
        <f>A50-WEEKDAY(A50,3)</f>
        <v>46314.0</v>
      </c>
      <c r="L50" t="str">
        <f>IF(C50="","MISSING DOC NO",IF(ISNA(MATCH(D50,Items!$A$2:$A$19,0)),"UNKNOWN SKU",IF(COUNTIFS($C$2:$C$400,C50,$D$2:$D$400,D50,$F$2:$F$400,F50,$G$2:$G$400,G50,$H$2:$H$400,H50)&gt;1,"DUPLICATE ENTRY",IF(J50&lt;0,"NEGATIVE BALANCE",IF(AND(B50="TRF",COUNTIFS($C$2:$C$400,C50,$D$2:$D$400,D50)&lt;2),"TRANSFER UNMATCHED",IF(AND(MAX(G50,H50)&gt;=100,IFERROR(IF(G50&gt;0,G50&gt;5*(SUMIFS($G$2:$G$400,$D$2:$D$400,D50)-G50)/(COUNTIFS($D$2:$D$400,D50,$G$2:$G$400,"&gt;0")-1),H50&gt;5*(SUMIFS($H$2:$H$400,$D$2:$D$400,D50)-H50)/(COUNTIFS($D$2:$D$400,D50,$H$2:$H$400,"&gt;0")-1)),FALSE)),"UNUSUAL QTY","OK"))))))</f>
        <v>OK</v>
      </c>
      <c r="N50">
        <f>IF(AND(L50&lt;&gt;"OK",K50=Weekly_Report!$C$4),COUNTIFS($L$2:L50,"&lt;&gt;OK",$K$2:K50,Weekly_Report!$C$4),"")</f>
      </c>
    </row>
    <row r="51">
      <c r="A51" s="2" t="n">
        <v>46315</v>
      </c>
      <c r="B51" t="inlineStr">
        <is>
          <t>GRN</t>
        </is>
      </c>
      <c r="C51" t="inlineStr">
        <is>
          <t>GRN-5114</t>
        </is>
      </c>
      <c r="D51" t="inlineStr">
        <is>
          <t>ST-7001</t>
        </is>
      </c>
      <c r="E51" t="str">
        <f>IFERROR(INDEX(Items!$B$2:$B$19,MATCH(D51,Items!$A$2:$A$19,0)),"? not on Items")</f>
        <v>Shelf bin small</v>
      </c>
      <c r="F51" t="inlineStr">
        <is>
          <t>Main</t>
        </is>
      </c>
      <c r="G51" s="3" t="n">
        <v>48</v>
      </c>
      <c r="H51" s="3" t="n">
        <v>0</v>
      </c>
      <c r="I51" t="inlineStr">
        <is>
          <t>Priya</t>
        </is>
      </c>
      <c r="J51">
        <f>IFERROR(INDEX(IF(F51="Main",Items!$D$2:$D$19,Items!$E$2:$E$19),MATCH(D51,Items!$A$2:$A$19,0)),0)+SUMIFS($G$2:G51,$D$2:D51,D51,$F$2:F51,F51)-SUMIFS($H$2:H51,$D$2:D51,D51,$F$2:F51,F51)</f>
        <v>402</v>
      </c>
      <c r="K51" s="2">
        <f>A51-WEEKDAY(A51,3)</f>
        <v>46314.0</v>
      </c>
      <c r="L51" t="str">
        <f>IF(C51="","MISSING DOC NO",IF(ISNA(MATCH(D51,Items!$A$2:$A$19,0)),"UNKNOWN SKU",IF(COUNTIFS($C$2:$C$400,C51,$D$2:$D$400,D51,$F$2:$F$400,F51,$G$2:$G$400,G51,$H$2:$H$400,H51)&gt;1,"DUPLICATE ENTRY",IF(J51&lt;0,"NEGATIVE BALANCE",IF(AND(B51="TRF",COUNTIFS($C$2:$C$400,C51,$D$2:$D$400,D51)&lt;2),"TRANSFER UNMATCHED",IF(AND(MAX(G51,H51)&gt;=100,IFERROR(IF(G51&gt;0,G51&gt;5*(SUMIFS($G$2:$G$400,$D$2:$D$400,D51)-G51)/(COUNTIFS($D$2:$D$400,D51,$G$2:$G$400,"&gt;0")-1),H51&gt;5*(SUMIFS($H$2:$H$400,$D$2:$D$400,D51)-H51)/(COUNTIFS($D$2:$D$400,D51,$H$2:$H$400,"&gt;0")-1)),FALSE)),"UNUSUAL QTY","OK"))))))</f>
        <v>OK</v>
      </c>
      <c r="N51">
        <f>IF(AND(L51&lt;&gt;"OK",K51=Weekly_Report!$C$4),COUNTIFS($L$2:L51,"&lt;&gt;OK",$K$2:K51,Weekly_Report!$C$4),"")</f>
      </c>
    </row>
    <row r="52">
      <c r="A52" s="2" t="n">
        <v>46315</v>
      </c>
      <c r="B52" t="inlineStr">
        <is>
          <t>DN</t>
        </is>
      </c>
      <c r="C52" t="inlineStr">
        <is>
          <t>DN-8825</t>
        </is>
      </c>
      <c r="D52" t="inlineStr">
        <is>
          <t>PK-1003</t>
        </is>
      </c>
      <c r="E52" t="str">
        <f>IFERROR(INDEX(Items!$B$2:$B$19,MATCH(D52,Items!$A$2:$A$19,0)),"? not on Items")</f>
        <v>Stretch film 500mm</v>
      </c>
      <c r="F52" t="inlineStr">
        <is>
          <t>Main</t>
        </is>
      </c>
      <c r="G52" s="3" t="n">
        <v>0</v>
      </c>
      <c r="H52" s="3" t="n">
        <v>5</v>
      </c>
      <c r="I52" t="inlineStr">
        <is>
          <t>Manaz</t>
        </is>
      </c>
      <c r="J52">
        <f>IFERROR(INDEX(IF(F52="Main",Items!$D$2:$D$19,Items!$E$2:$E$19),MATCH(D52,Items!$A$2:$A$19,0)),0)+SUMIFS($G$2:G52,$D$2:D52,D52,$F$2:F52,F52)-SUMIFS($H$2:H52,$D$2:D52,D52,$F$2:F52,F52)</f>
        <v>183</v>
      </c>
      <c r="K52" s="2">
        <f>A52-WEEKDAY(A52,3)</f>
        <v>46314.0</v>
      </c>
      <c r="L52" t="str">
        <f>IF(C52="","MISSING DOC NO",IF(ISNA(MATCH(D52,Items!$A$2:$A$19,0)),"UNKNOWN SKU",IF(COUNTIFS($C$2:$C$400,C52,$D$2:$D$400,D52,$F$2:$F$400,F52,$G$2:$G$400,G52,$H$2:$H$400,H52)&gt;1,"DUPLICATE ENTRY",IF(J52&lt;0,"NEGATIVE BALANCE",IF(AND(B52="TRF",COUNTIFS($C$2:$C$400,C52,$D$2:$D$400,D52)&lt;2),"TRANSFER UNMATCHED",IF(AND(MAX(G52,H52)&gt;=100,IFERROR(IF(G52&gt;0,G52&gt;5*(SUMIFS($G$2:$G$400,$D$2:$D$400,D52)-G52)/(COUNTIFS($D$2:$D$400,D52,$G$2:$G$400,"&gt;0")-1),H52&gt;5*(SUMIFS($H$2:$H$400,$D$2:$D$400,D52)-H52)/(COUNTIFS($D$2:$D$400,D52,$H$2:$H$400,"&gt;0")-1)),FALSE)),"UNUSUAL QTY","OK"))))))</f>
        <v>OK</v>
      </c>
      <c r="N52">
        <f>IF(AND(L52&lt;&gt;"OK",K52=Weekly_Report!$C$4),COUNTIFS($L$2:L52,"&lt;&gt;OK",$K$2:K52,Weekly_Report!$C$4),"")</f>
      </c>
    </row>
    <row r="53">
      <c r="A53" s="2" t="n">
        <v>46315</v>
      </c>
      <c r="B53" t="inlineStr">
        <is>
          <t>DN</t>
        </is>
      </c>
      <c r="C53" t="inlineStr">
        <is>
          <t>DN-8826</t>
        </is>
      </c>
      <c r="D53" t="inlineStr">
        <is>
          <t>PK-1005</t>
        </is>
      </c>
      <c r="E53" t="str">
        <f>IFERROR(INDEX(Items!$B$2:$B$19,MATCH(D53,Items!$A$2:$A$19,0)),"? not on Items")</f>
        <v>Bubble wrap 1m x 50m</v>
      </c>
      <c r="F53" t="inlineStr">
        <is>
          <t>Main</t>
        </is>
      </c>
      <c r="G53" s="3" t="n">
        <v>0</v>
      </c>
      <c r="H53" s="3" t="n">
        <v>34</v>
      </c>
      <c r="I53" t="inlineStr">
        <is>
          <t>Ravi</t>
        </is>
      </c>
      <c r="J53">
        <f>IFERROR(INDEX(IF(F53="Main",Items!$D$2:$D$19,Items!$E$2:$E$19),MATCH(D53,Items!$A$2:$A$19,0)),0)+SUMIFS($G$2:G53,$D$2:D53,D53,$F$2:F53,F53)-SUMIFS($H$2:H53,$D$2:D53,D53,$F$2:F53,F53)</f>
        <v>219</v>
      </c>
      <c r="K53" s="2">
        <f>A53-WEEKDAY(A53,3)</f>
        <v>46314.0</v>
      </c>
      <c r="L53" t="str">
        <f>IF(C53="","MISSING DOC NO",IF(ISNA(MATCH(D53,Items!$A$2:$A$19,0)),"UNKNOWN SKU",IF(COUNTIFS($C$2:$C$400,C53,$D$2:$D$400,D53,$F$2:$F$400,F53,$G$2:$G$400,G53,$H$2:$H$400,H53)&gt;1,"DUPLICATE ENTRY",IF(J53&lt;0,"NEGATIVE BALANCE",IF(AND(B53="TRF",COUNTIFS($C$2:$C$400,C53,$D$2:$D$400,D53)&lt;2),"TRANSFER UNMATCHED",IF(AND(MAX(G53,H53)&gt;=100,IFERROR(IF(G53&gt;0,G53&gt;5*(SUMIFS($G$2:$G$400,$D$2:$D$400,D53)-G53)/(COUNTIFS($D$2:$D$400,D53,$G$2:$G$400,"&gt;0")-1),H53&gt;5*(SUMIFS($H$2:$H$400,$D$2:$D$400,D53)-H53)/(COUNTIFS($D$2:$D$400,D53,$H$2:$H$400,"&gt;0")-1)),FALSE)),"UNUSUAL QTY","OK"))))))</f>
        <v>OK</v>
      </c>
      <c r="N53">
        <f>IF(AND(L53&lt;&gt;"OK",K53=Weekly_Report!$C$4),COUNTIFS($L$2:L53,"&lt;&gt;OK",$K$2:K53,Weekly_Report!$C$4),"")</f>
      </c>
    </row>
    <row r="54">
      <c r="A54" s="2" t="n">
        <v>46315</v>
      </c>
      <c r="B54" t="inlineStr">
        <is>
          <t>DN</t>
        </is>
      </c>
      <c r="C54" t="inlineStr">
        <is>
          <t>DN-8827</t>
        </is>
      </c>
      <c r="D54" t="inlineStr">
        <is>
          <t>ST-7001</t>
        </is>
      </c>
      <c r="E54" t="str">
        <f>IFERROR(INDEX(Items!$B$2:$B$19,MATCH(D54,Items!$A$2:$A$19,0)),"? not on Items")</f>
        <v>Shelf bin small</v>
      </c>
      <c r="F54" t="inlineStr">
        <is>
          <t>Annex</t>
        </is>
      </c>
      <c r="G54" s="3" t="n">
        <v>0</v>
      </c>
      <c r="H54" s="3" t="n">
        <v>16</v>
      </c>
      <c r="I54" t="inlineStr">
        <is>
          <t>Manaz</t>
        </is>
      </c>
      <c r="J54">
        <f>IFERROR(INDEX(IF(F54="Main",Items!$D$2:$D$19,Items!$E$2:$E$19),MATCH(D54,Items!$A$2:$A$19,0)),0)+SUMIFS($G$2:G54,$D$2:D54,D54,$F$2:F54,F54)-SUMIFS($H$2:H54,$D$2:D54,D54,$F$2:F54,F54)</f>
        <v>34</v>
      </c>
      <c r="K54" s="2">
        <f>A54-WEEKDAY(A54,3)</f>
        <v>46314.0</v>
      </c>
      <c r="L54" t="str">
        <f>IF(C54="","MISSING DOC NO",IF(ISNA(MATCH(D54,Items!$A$2:$A$19,0)),"UNKNOWN SKU",IF(COUNTIFS($C$2:$C$400,C54,$D$2:$D$400,D54,$F$2:$F$400,F54,$G$2:$G$400,G54,$H$2:$H$400,H54)&gt;1,"DUPLICATE ENTRY",IF(J54&lt;0,"NEGATIVE BALANCE",IF(AND(B54="TRF",COUNTIFS($C$2:$C$400,C54,$D$2:$D$400,D54)&lt;2),"TRANSFER UNMATCHED",IF(AND(MAX(G54,H54)&gt;=100,IFERROR(IF(G54&gt;0,G54&gt;5*(SUMIFS($G$2:$G$400,$D$2:$D$400,D54)-G54)/(COUNTIFS($D$2:$D$400,D54,$G$2:$G$400,"&gt;0")-1),H54&gt;5*(SUMIFS($H$2:$H$400,$D$2:$D$400,D54)-H54)/(COUNTIFS($D$2:$D$400,D54,$H$2:$H$400,"&gt;0")-1)),FALSE)),"UNUSUAL QTY","OK"))))))</f>
        <v>OK</v>
      </c>
      <c r="N54">
        <f>IF(AND(L54&lt;&gt;"OK",K54=Weekly_Report!$C$4),COUNTIFS($L$2:L54,"&lt;&gt;OK",$K$2:K54,Weekly_Report!$C$4),"")</f>
      </c>
    </row>
    <row r="55">
      <c r="A55" s="2" t="n">
        <v>46315</v>
      </c>
      <c r="B55" t="inlineStr">
        <is>
          <t>DN</t>
        </is>
      </c>
      <c r="C55" t="inlineStr">
        <is>
          <t>DN-8828</t>
        </is>
      </c>
      <c r="D55" t="inlineStr">
        <is>
          <t>SF-3002</t>
        </is>
      </c>
      <c r="E55" t="str">
        <f>IFERROR(INDEX(Items!$B$2:$B$19,MATCH(D55,Items!$A$2:$A$19,0)),"? not on Items")</f>
        <v>Hi-vis vest</v>
      </c>
      <c r="F55" t="inlineStr">
        <is>
          <t>Main</t>
        </is>
      </c>
      <c r="G55" s="3" t="n">
        <v>0</v>
      </c>
      <c r="H55" s="3" t="n">
        <v>26</v>
      </c>
      <c r="I55" t="inlineStr">
        <is>
          <t>Manaz</t>
        </is>
      </c>
      <c r="J55">
        <f>IFERROR(INDEX(IF(F55="Main",Items!$D$2:$D$19,Items!$E$2:$E$19),MATCH(D55,Items!$A$2:$A$19,0)),0)+SUMIFS($G$2:G55,$D$2:D55,D55,$F$2:F55,F55)-SUMIFS($H$2:H55,$D$2:D55,D55,$F$2:F55,F55)</f>
        <v>219</v>
      </c>
      <c r="K55" s="2">
        <f>A55-WEEKDAY(A55,3)</f>
        <v>46314.0</v>
      </c>
      <c r="L55" t="str">
        <f>IF(C55="","MISSING DOC NO",IF(ISNA(MATCH(D55,Items!$A$2:$A$19,0)),"UNKNOWN SKU",IF(COUNTIFS($C$2:$C$400,C55,$D$2:$D$400,D55,$F$2:$F$400,F55,$G$2:$G$400,G55,$H$2:$H$400,H55)&gt;1,"DUPLICATE ENTRY",IF(J55&lt;0,"NEGATIVE BALANCE",IF(AND(B55="TRF",COUNTIFS($C$2:$C$400,C55,$D$2:$D$400,D55)&lt;2),"TRANSFER UNMATCHED",IF(AND(MAX(G55,H55)&gt;=100,IFERROR(IF(G55&gt;0,G55&gt;5*(SUMIFS($G$2:$G$400,$D$2:$D$400,D55)-G55)/(COUNTIFS($D$2:$D$400,D55,$G$2:$G$400,"&gt;0")-1),H55&gt;5*(SUMIFS($H$2:$H$400,$D$2:$D$400,D55)-H55)/(COUNTIFS($D$2:$D$400,D55,$H$2:$H$400,"&gt;0")-1)),FALSE)),"UNUSUAL QTY","OK"))))))</f>
        <v>OK</v>
      </c>
      <c r="N55">
        <f>IF(AND(L55&lt;&gt;"OK",K55=Weekly_Report!$C$4),COUNTIFS($L$2:L55,"&lt;&gt;OK",$K$2:K55,Weekly_Report!$C$4),"")</f>
      </c>
    </row>
    <row r="56">
      <c r="A56" s="2" t="n">
        <v>46316</v>
      </c>
      <c r="B56" t="inlineStr">
        <is>
          <t>GRN</t>
        </is>
      </c>
      <c r="C56" t="inlineStr">
        <is>
          <t>GRN-5115</t>
        </is>
      </c>
      <c r="D56" t="inlineStr">
        <is>
          <t>PK-1002</t>
        </is>
      </c>
      <c r="E56" t="str">
        <f>IFERROR(INDEX(Items!$B$2:$B$19,MATCH(D56,Items!$A$2:$A$19,0)),"? not on Items")</f>
        <v>Carton box 400x300x300</v>
      </c>
      <c r="F56" t="inlineStr">
        <is>
          <t>Main</t>
        </is>
      </c>
      <c r="G56" s="3" t="n">
        <v>24</v>
      </c>
      <c r="H56" s="3" t="n">
        <v>0</v>
      </c>
      <c r="I56" t="inlineStr">
        <is>
          <t>Ravi</t>
        </is>
      </c>
      <c r="J56">
        <f>IFERROR(INDEX(IF(F56="Main",Items!$D$2:$D$19,Items!$E$2:$E$19),MATCH(D56,Items!$A$2:$A$19,0)),0)+SUMIFS($G$2:G56,$D$2:D56,D56,$F$2:F56,F56)-SUMIFS($H$2:H56,$D$2:D56,D56,$F$2:F56,F56)</f>
        <v>286</v>
      </c>
      <c r="K56" s="2">
        <f>A56-WEEKDAY(A56,3)</f>
        <v>46314.0</v>
      </c>
      <c r="L56" t="str">
        <f>IF(C56="","MISSING DOC NO",IF(ISNA(MATCH(D56,Items!$A$2:$A$19,0)),"UNKNOWN SKU",IF(COUNTIFS($C$2:$C$400,C56,$D$2:$D$400,D56,$F$2:$F$400,F56,$G$2:$G$400,G56,$H$2:$H$400,H56)&gt;1,"DUPLICATE ENTRY",IF(J56&lt;0,"NEGATIVE BALANCE",IF(AND(B56="TRF",COUNTIFS($C$2:$C$400,C56,$D$2:$D$400,D56)&lt;2),"TRANSFER UNMATCHED",IF(AND(MAX(G56,H56)&gt;=100,IFERROR(IF(G56&gt;0,G56&gt;5*(SUMIFS($G$2:$G$400,$D$2:$D$400,D56)-G56)/(COUNTIFS($D$2:$D$400,D56,$G$2:$G$400,"&gt;0")-1),H56&gt;5*(SUMIFS($H$2:$H$400,$D$2:$D$400,D56)-H56)/(COUNTIFS($D$2:$D$400,D56,$H$2:$H$400,"&gt;0")-1)),FALSE)),"UNUSUAL QTY","OK"))))))</f>
        <v>OK</v>
      </c>
      <c r="N56">
        <f>IF(AND(L56&lt;&gt;"OK",K56=Weekly_Report!$C$4),COUNTIFS($L$2:L56,"&lt;&gt;OK",$K$2:K56,Weekly_Report!$C$4),"")</f>
      </c>
    </row>
    <row r="57">
      <c r="A57" s="2" t="n">
        <v>46316</v>
      </c>
      <c r="B57" t="inlineStr">
        <is>
          <t>GRN</t>
        </is>
      </c>
      <c r="C57" t="inlineStr">
        <is>
          <t>GRN-5116</t>
        </is>
      </c>
      <c r="D57" t="inlineStr">
        <is>
          <t>HW-6002</t>
        </is>
      </c>
      <c r="E57" t="str">
        <f>IFERROR(INDEX(Items!$B$2:$B$19,MATCH(D57,Items!$A$2:$A$19,0)),"? not on Items")</f>
        <v>Strapping band 12mm</v>
      </c>
      <c r="F57" t="inlineStr">
        <is>
          <t>Main</t>
        </is>
      </c>
      <c r="G57" s="3" t="n">
        <v>100</v>
      </c>
      <c r="H57" s="3" t="n">
        <v>0</v>
      </c>
      <c r="I57" t="inlineStr">
        <is>
          <t>Priya</t>
        </is>
      </c>
      <c r="J57">
        <f>IFERROR(INDEX(IF(F57="Main",Items!$D$2:$D$19,Items!$E$2:$E$19),MATCH(D57,Items!$A$2:$A$19,0)),0)+SUMIFS($G$2:G57,$D$2:D57,D57,$F$2:F57,F57)-SUMIFS($H$2:H57,$D$2:D57,D57,$F$2:F57,F57)</f>
        <v>498</v>
      </c>
      <c r="K57" s="2">
        <f>A57-WEEKDAY(A57,3)</f>
        <v>46314.0</v>
      </c>
      <c r="L57" t="str">
        <f>IF(C57="","MISSING DOC NO",IF(ISNA(MATCH(D57,Items!$A$2:$A$19,0)),"UNKNOWN SKU",IF(COUNTIFS($C$2:$C$400,C57,$D$2:$D$400,D57,$F$2:$F$400,F57,$G$2:$G$400,G57,$H$2:$H$400,H57)&gt;1,"DUPLICATE ENTRY",IF(J57&lt;0,"NEGATIVE BALANCE",IF(AND(B57="TRF",COUNTIFS($C$2:$C$400,C57,$D$2:$D$400,D57)&lt;2),"TRANSFER UNMATCHED",IF(AND(MAX(G57,H57)&gt;=100,IFERROR(IF(G57&gt;0,G57&gt;5*(SUMIFS($G$2:$G$400,$D$2:$D$400,D57)-G57)/(COUNTIFS($D$2:$D$400,D57,$G$2:$G$400,"&gt;0")-1),H57&gt;5*(SUMIFS($H$2:$H$400,$D$2:$D$400,D57)-H57)/(COUNTIFS($D$2:$D$400,D57,$H$2:$H$400,"&gt;0")-1)),FALSE)),"UNUSUAL QTY","OK"))))))</f>
        <v>OK</v>
      </c>
      <c r="N57">
        <f>IF(AND(L57&lt;&gt;"OK",K57=Weekly_Report!$C$4),COUNTIFS($L$2:L57,"&lt;&gt;OK",$K$2:K57,Weekly_Report!$C$4),"")</f>
      </c>
    </row>
    <row r="58">
      <c r="A58" s="2" t="n">
        <v>46316</v>
      </c>
      <c r="B58" t="inlineStr">
        <is>
          <t>DN</t>
        </is>
      </c>
      <c r="C58" t="inlineStr">
        <is>
          <t>DN-8829</t>
        </is>
      </c>
      <c r="D58" t="inlineStr">
        <is>
          <t>ST-7001</t>
        </is>
      </c>
      <c r="E58" t="str">
        <f>IFERROR(INDEX(Items!$B$2:$B$19,MATCH(D58,Items!$A$2:$A$19,0)),"? not on Items")</f>
        <v>Shelf bin small</v>
      </c>
      <c r="F58" t="inlineStr">
        <is>
          <t>Main</t>
        </is>
      </c>
      <c r="G58" s="3" t="n">
        <v>0</v>
      </c>
      <c r="H58" s="3" t="n">
        <v>38</v>
      </c>
      <c r="I58" t="inlineStr">
        <is>
          <t>Priya</t>
        </is>
      </c>
      <c r="J58">
        <f>IFERROR(INDEX(IF(F58="Main",Items!$D$2:$D$19,Items!$E$2:$E$19),MATCH(D58,Items!$A$2:$A$19,0)),0)+SUMIFS($G$2:G58,$D$2:D58,D58,$F$2:F58,F58)-SUMIFS($H$2:H58,$D$2:D58,D58,$F$2:F58,F58)</f>
        <v>364</v>
      </c>
      <c r="K58" s="2">
        <f>A58-WEEKDAY(A58,3)</f>
        <v>46314.0</v>
      </c>
      <c r="L58" t="str">
        <f>IF(C58="","MISSING DOC NO",IF(ISNA(MATCH(D58,Items!$A$2:$A$19,0)),"UNKNOWN SKU",IF(COUNTIFS($C$2:$C$400,C58,$D$2:$D$400,D58,$F$2:$F$400,F58,$G$2:$G$400,G58,$H$2:$H$400,H58)&gt;1,"DUPLICATE ENTRY",IF(J58&lt;0,"NEGATIVE BALANCE",IF(AND(B58="TRF",COUNTIFS($C$2:$C$400,C58,$D$2:$D$400,D58)&lt;2),"TRANSFER UNMATCHED",IF(AND(MAX(G58,H58)&gt;=100,IFERROR(IF(G58&gt;0,G58&gt;5*(SUMIFS($G$2:$G$400,$D$2:$D$400,D58)-G58)/(COUNTIFS($D$2:$D$400,D58,$G$2:$G$400,"&gt;0")-1),H58&gt;5*(SUMIFS($H$2:$H$400,$D$2:$D$400,D58)-H58)/(COUNTIFS($D$2:$D$400,D58,$H$2:$H$400,"&gt;0")-1)),FALSE)),"UNUSUAL QTY","OK"))))))</f>
        <v>DUPLICATE ENTRY</v>
      </c>
      <c r="N58">
        <f>IF(AND(L58&lt;&gt;"OK",K58=Weekly_Report!$C$4),COUNTIFS($L$2:L58,"&lt;&gt;OK",$K$2:K58,Weekly_Report!$C$4),"")</f>
        <v>1</v>
      </c>
    </row>
    <row r="59">
      <c r="A59" s="2" t="n">
        <v>46316</v>
      </c>
      <c r="B59" t="inlineStr">
        <is>
          <t>DN</t>
        </is>
      </c>
      <c r="C59" t="inlineStr">
        <is>
          <t>DN-8830</t>
        </is>
      </c>
      <c r="D59" t="inlineStr">
        <is>
          <t>PK-1005</t>
        </is>
      </c>
      <c r="E59" t="str">
        <f>IFERROR(INDEX(Items!$B$2:$B$19,MATCH(D59,Items!$A$2:$A$19,0)),"? not on Items")</f>
        <v>Bubble wrap 1m x 50m</v>
      </c>
      <c r="F59" t="inlineStr">
        <is>
          <t>Annex</t>
        </is>
      </c>
      <c r="G59" s="3" t="n">
        <v>0</v>
      </c>
      <c r="H59" s="3" t="n">
        <v>15</v>
      </c>
      <c r="I59" t="inlineStr">
        <is>
          <t>Manaz</t>
        </is>
      </c>
      <c r="J59">
        <f>IFERROR(INDEX(IF(F59="Main",Items!$D$2:$D$19,Items!$E$2:$E$19),MATCH(D59,Items!$A$2:$A$19,0)),0)+SUMIFS($G$2:G59,$D$2:D59,D59,$F$2:F59,F59)-SUMIFS($H$2:H59,$D$2:D59,D59,$F$2:F59,F59)</f>
        <v>60</v>
      </c>
      <c r="K59" s="2">
        <f>A59-WEEKDAY(A59,3)</f>
        <v>46314.0</v>
      </c>
      <c r="L59" t="str">
        <f>IF(C59="","MISSING DOC NO",IF(ISNA(MATCH(D59,Items!$A$2:$A$19,0)),"UNKNOWN SKU",IF(COUNTIFS($C$2:$C$400,C59,$D$2:$D$400,D59,$F$2:$F$400,F59,$G$2:$G$400,G59,$H$2:$H$400,H59)&gt;1,"DUPLICATE ENTRY",IF(J59&lt;0,"NEGATIVE BALANCE",IF(AND(B59="TRF",COUNTIFS($C$2:$C$400,C59,$D$2:$D$400,D59)&lt;2),"TRANSFER UNMATCHED",IF(AND(MAX(G59,H59)&gt;=100,IFERROR(IF(G59&gt;0,G59&gt;5*(SUMIFS($G$2:$G$400,$D$2:$D$400,D59)-G59)/(COUNTIFS($D$2:$D$400,D59,$G$2:$G$400,"&gt;0")-1),H59&gt;5*(SUMIFS($H$2:$H$400,$D$2:$D$400,D59)-H59)/(COUNTIFS($D$2:$D$400,D59,$H$2:$H$400,"&gt;0")-1)),FALSE)),"UNUSUAL QTY","OK"))))))</f>
        <v>OK</v>
      </c>
      <c r="N59">
        <f>IF(AND(L59&lt;&gt;"OK",K59=Weekly_Report!$C$4),COUNTIFS($L$2:L59,"&lt;&gt;OK",$K$2:K59,Weekly_Report!$C$4),"")</f>
      </c>
    </row>
    <row r="60">
      <c r="A60" s="2" t="n">
        <v>46316</v>
      </c>
      <c r="B60" t="inlineStr">
        <is>
          <t>DN</t>
        </is>
      </c>
      <c r="C60" t="inlineStr">
        <is>
          <t>DN-8831</t>
        </is>
      </c>
      <c r="D60" t="inlineStr">
        <is>
          <t>PK-1001</t>
        </is>
      </c>
      <c r="E60" t="str">
        <f>IFERROR(INDEX(Items!$B$2:$B$19,MATCH(D60,Items!$A$2:$A$19,0)),"? not on Items")</f>
        <v>Carton box 600x400x400</v>
      </c>
      <c r="F60" t="inlineStr">
        <is>
          <t>Main</t>
        </is>
      </c>
      <c r="G60" s="3" t="n">
        <v>0</v>
      </c>
      <c r="H60" s="3" t="n">
        <v>13</v>
      </c>
      <c r="I60" t="inlineStr">
        <is>
          <t>Manaz</t>
        </is>
      </c>
      <c r="J60">
        <f>IFERROR(INDEX(IF(F60="Main",Items!$D$2:$D$19,Items!$E$2:$E$19),MATCH(D60,Items!$A$2:$A$19,0)),0)+SUMIFS($G$2:G60,$D$2:D60,D60,$F$2:F60,F60)-SUMIFS($H$2:H60,$D$2:D60,D60,$F$2:F60,F60)</f>
        <v>322</v>
      </c>
      <c r="K60" s="2">
        <f>A60-WEEKDAY(A60,3)</f>
        <v>46314.0</v>
      </c>
      <c r="L60" t="str">
        <f>IF(C60="","MISSING DOC NO",IF(ISNA(MATCH(D60,Items!$A$2:$A$19,0)),"UNKNOWN SKU",IF(COUNTIFS($C$2:$C$400,C60,$D$2:$D$400,D60,$F$2:$F$400,F60,$G$2:$G$400,G60,$H$2:$H$400,H60)&gt;1,"DUPLICATE ENTRY",IF(J60&lt;0,"NEGATIVE BALANCE",IF(AND(B60="TRF",COUNTIFS($C$2:$C$400,C60,$D$2:$D$400,D60)&lt;2),"TRANSFER UNMATCHED",IF(AND(MAX(G60,H60)&gt;=100,IFERROR(IF(G60&gt;0,G60&gt;5*(SUMIFS($G$2:$G$400,$D$2:$D$400,D60)-G60)/(COUNTIFS($D$2:$D$400,D60,$G$2:$G$400,"&gt;0")-1),H60&gt;5*(SUMIFS($H$2:$H$400,$D$2:$D$400,D60)-H60)/(COUNTIFS($D$2:$D$400,D60,$H$2:$H$400,"&gt;0")-1)),FALSE)),"UNUSUAL QTY","OK"))))))</f>
        <v>OK</v>
      </c>
      <c r="N60">
        <f>IF(AND(L60&lt;&gt;"OK",K60=Weekly_Report!$C$4),COUNTIFS($L$2:L60,"&lt;&gt;OK",$K$2:K60,Weekly_Report!$C$4),"")</f>
      </c>
    </row>
    <row r="61">
      <c r="A61" s="2" t="n">
        <v>46316</v>
      </c>
      <c r="B61" t="inlineStr">
        <is>
          <t>DN</t>
        </is>
      </c>
      <c r="C61" t="inlineStr">
        <is>
          <t>DN-8832</t>
        </is>
      </c>
      <c r="D61" t="inlineStr">
        <is>
          <t>HW-6003</t>
        </is>
      </c>
      <c r="E61" t="str">
        <f>IFERROR(INDEX(Items!$B$2:$B$19,MATCH(D61,Items!$A$2:$A$19,0)),"? not on Items")</f>
        <v>Strapping seals (1000)</v>
      </c>
      <c r="F61" t="inlineStr">
        <is>
          <t>Main</t>
        </is>
      </c>
      <c r="G61" s="3" t="n">
        <v>0</v>
      </c>
      <c r="H61" s="3" t="n">
        <v>24</v>
      </c>
      <c r="I61" t="inlineStr">
        <is>
          <t>Manaz</t>
        </is>
      </c>
      <c r="J61">
        <f>IFERROR(INDEX(IF(F61="Main",Items!$D$2:$D$19,Items!$E$2:$E$19),MATCH(D61,Items!$A$2:$A$19,0)),0)+SUMIFS($G$2:G61,$D$2:D61,D61,$F$2:F61,F61)-SUMIFS($H$2:H61,$D$2:D61,D61,$F$2:F61,F61)</f>
        <v>193</v>
      </c>
      <c r="K61" s="2">
        <f>A61-WEEKDAY(A61,3)</f>
        <v>46314.0</v>
      </c>
      <c r="L61" t="str">
        <f>IF(C61="","MISSING DOC NO",IF(ISNA(MATCH(D61,Items!$A$2:$A$19,0)),"UNKNOWN SKU",IF(COUNTIFS($C$2:$C$400,C61,$D$2:$D$400,D61,$F$2:$F$400,F61,$G$2:$G$400,G61,$H$2:$H$400,H61)&gt;1,"DUPLICATE ENTRY",IF(J61&lt;0,"NEGATIVE BALANCE",IF(AND(B61="TRF",COUNTIFS($C$2:$C$400,C61,$D$2:$D$400,D61)&lt;2),"TRANSFER UNMATCHED",IF(AND(MAX(G61,H61)&gt;=100,IFERROR(IF(G61&gt;0,G61&gt;5*(SUMIFS($G$2:$G$400,$D$2:$D$400,D61)-G61)/(COUNTIFS($D$2:$D$400,D61,$G$2:$G$400,"&gt;0")-1),H61&gt;5*(SUMIFS($H$2:$H$400,$D$2:$D$400,D61)-H61)/(COUNTIFS($D$2:$D$400,D61,$H$2:$H$400,"&gt;0")-1)),FALSE)),"UNUSUAL QTY","OK"))))))</f>
        <v>OK</v>
      </c>
      <c r="N61">
        <f>IF(AND(L61&lt;&gt;"OK",K61=Weekly_Report!$C$4),COUNTIFS($L$2:L61,"&lt;&gt;OK",$K$2:K61,Weekly_Report!$C$4),"")</f>
      </c>
    </row>
    <row r="62">
      <c r="A62" s="2" t="n">
        <v>46316</v>
      </c>
      <c r="B62" t="inlineStr">
        <is>
          <t>DN</t>
        </is>
      </c>
      <c r="C62" t="inlineStr">
        <is>
          <t>DN-8833</t>
        </is>
      </c>
      <c r="D62" t="inlineStr">
        <is>
          <t>ST-7001</t>
        </is>
      </c>
      <c r="E62" t="str">
        <f>IFERROR(INDEX(Items!$B$2:$B$19,MATCH(D62,Items!$A$2:$A$19,0)),"? not on Items")</f>
        <v>Shelf bin small</v>
      </c>
      <c r="F62" t="inlineStr">
        <is>
          <t>Main</t>
        </is>
      </c>
      <c r="G62" s="3" t="n">
        <v>0</v>
      </c>
      <c r="H62" s="3" t="n">
        <v>39</v>
      </c>
      <c r="I62" t="inlineStr">
        <is>
          <t>Ravi</t>
        </is>
      </c>
      <c r="J62">
        <f>IFERROR(INDEX(IF(F62="Main",Items!$D$2:$D$19,Items!$E$2:$E$19),MATCH(D62,Items!$A$2:$A$19,0)),0)+SUMIFS($G$2:G62,$D$2:D62,D62,$F$2:F62,F62)-SUMIFS($H$2:H62,$D$2:D62,D62,$F$2:F62,F62)</f>
        <v>325</v>
      </c>
      <c r="K62" s="2">
        <f>A62-WEEKDAY(A62,3)</f>
        <v>46314.0</v>
      </c>
      <c r="L62" t="str">
        <f>IF(C62="","MISSING DOC NO",IF(ISNA(MATCH(D62,Items!$A$2:$A$19,0)),"UNKNOWN SKU",IF(COUNTIFS($C$2:$C$400,C62,$D$2:$D$400,D62,$F$2:$F$400,F62,$G$2:$G$400,G62,$H$2:$H$400,H62)&gt;1,"DUPLICATE ENTRY",IF(J62&lt;0,"NEGATIVE BALANCE",IF(AND(B62="TRF",COUNTIFS($C$2:$C$400,C62,$D$2:$D$400,D62)&lt;2),"TRANSFER UNMATCHED",IF(AND(MAX(G62,H62)&gt;=100,IFERROR(IF(G62&gt;0,G62&gt;5*(SUMIFS($G$2:$G$400,$D$2:$D$400,D62)-G62)/(COUNTIFS($D$2:$D$400,D62,$G$2:$G$400,"&gt;0")-1),H62&gt;5*(SUMIFS($H$2:$H$400,$D$2:$D$400,D62)-H62)/(COUNTIFS($D$2:$D$400,D62,$H$2:$H$400,"&gt;0")-1)),FALSE)),"UNUSUAL QTY","OK"))))))</f>
        <v>OK</v>
      </c>
      <c r="N62">
        <f>IF(AND(L62&lt;&gt;"OK",K62=Weekly_Report!$C$4),COUNTIFS($L$2:L62,"&lt;&gt;OK",$K$2:K62,Weekly_Report!$C$4),"")</f>
      </c>
    </row>
    <row r="63">
      <c r="A63" s="2" t="n">
        <v>46316</v>
      </c>
      <c r="B63" t="inlineStr">
        <is>
          <t>DN</t>
        </is>
      </c>
      <c r="C63" t="inlineStr">
        <is>
          <t>DN-8834</t>
        </is>
      </c>
      <c r="D63" t="inlineStr">
        <is>
          <t>PK-1004</t>
        </is>
      </c>
      <c r="E63" t="str">
        <f>IFERROR(INDEX(Items!$B$2:$B$19,MATCH(D63,Items!$A$2:$A$19,0)),"? not on Items")</f>
        <v>Packing tape 48mm</v>
      </c>
      <c r="F63" t="inlineStr">
        <is>
          <t>Main</t>
        </is>
      </c>
      <c r="G63" s="3" t="n">
        <v>0</v>
      </c>
      <c r="H63" s="3" t="n">
        <v>8</v>
      </c>
      <c r="I63" t="inlineStr">
        <is>
          <t>Priya</t>
        </is>
      </c>
      <c r="J63">
        <f>IFERROR(INDEX(IF(F63="Main",Items!$D$2:$D$19,Items!$E$2:$E$19),MATCH(D63,Items!$A$2:$A$19,0)),0)+SUMIFS($G$2:G63,$D$2:D63,D63,$F$2:F63,F63)-SUMIFS($H$2:H63,$D$2:D63,D63,$F$2:F63,F63)</f>
        <v>322</v>
      </c>
      <c r="K63" s="2">
        <f>A63-WEEKDAY(A63,3)</f>
        <v>46314.0</v>
      </c>
      <c r="L63" t="str">
        <f>IF(C63="","MISSING DOC NO",IF(ISNA(MATCH(D63,Items!$A$2:$A$19,0)),"UNKNOWN SKU",IF(COUNTIFS($C$2:$C$400,C63,$D$2:$D$400,D63,$F$2:$F$400,F63,$G$2:$G$400,G63,$H$2:$H$400,H63)&gt;1,"DUPLICATE ENTRY",IF(J63&lt;0,"NEGATIVE BALANCE",IF(AND(B63="TRF",COUNTIFS($C$2:$C$400,C63,$D$2:$D$400,D63)&lt;2),"TRANSFER UNMATCHED",IF(AND(MAX(G63,H63)&gt;=100,IFERROR(IF(G63&gt;0,G63&gt;5*(SUMIFS($G$2:$G$400,$D$2:$D$400,D63)-G63)/(COUNTIFS($D$2:$D$400,D63,$G$2:$G$400,"&gt;0")-1),H63&gt;5*(SUMIFS($H$2:$H$400,$D$2:$D$400,D63)-H63)/(COUNTIFS($D$2:$D$400,D63,$H$2:$H$400,"&gt;0")-1)),FALSE)),"UNUSUAL QTY","OK"))))))</f>
        <v>OK</v>
      </c>
      <c r="N63">
        <f>IF(AND(L63&lt;&gt;"OK",K63=Weekly_Report!$C$4),COUNTIFS($L$2:L63,"&lt;&gt;OK",$K$2:K63,Weekly_Report!$C$4),"")</f>
      </c>
    </row>
    <row r="64">
      <c r="A64" s="2" t="n">
        <v>46316</v>
      </c>
      <c r="B64" t="inlineStr">
        <is>
          <t>DN</t>
        </is>
      </c>
      <c r="C64" t="inlineStr">
        <is>
          <t>DN-8829</t>
        </is>
      </c>
      <c r="D64" t="inlineStr">
        <is>
          <t>ST-7001</t>
        </is>
      </c>
      <c r="E64" t="str">
        <f>IFERROR(INDEX(Items!$B$2:$B$19,MATCH(D64,Items!$A$2:$A$19,0)),"? not on Items")</f>
        <v>Shelf bin small</v>
      </c>
      <c r="F64" t="inlineStr">
        <is>
          <t>Main</t>
        </is>
      </c>
      <c r="G64" s="3" t="n">
        <v>0</v>
      </c>
      <c r="H64" s="3" t="n">
        <v>38</v>
      </c>
      <c r="I64" t="inlineStr">
        <is>
          <t>Priya</t>
        </is>
      </c>
      <c r="J64">
        <f>IFERROR(INDEX(IF(F64="Main",Items!$D$2:$D$19,Items!$E$2:$E$19),MATCH(D64,Items!$A$2:$A$19,0)),0)+SUMIFS($G$2:G64,$D$2:D64,D64,$F$2:F64,F64)-SUMIFS($H$2:H64,$D$2:D64,D64,$F$2:F64,F64)</f>
        <v>287</v>
      </c>
      <c r="K64" s="2">
        <f>A64-WEEKDAY(A64,3)</f>
        <v>46314.0</v>
      </c>
      <c r="L64" t="str">
        <f>IF(C64="","MISSING DOC NO",IF(ISNA(MATCH(D64,Items!$A$2:$A$19,0)),"UNKNOWN SKU",IF(COUNTIFS($C$2:$C$400,C64,$D$2:$D$400,D64,$F$2:$F$400,F64,$G$2:$G$400,G64,$H$2:$H$400,H64)&gt;1,"DUPLICATE ENTRY",IF(J64&lt;0,"NEGATIVE BALANCE",IF(AND(B64="TRF",COUNTIFS($C$2:$C$400,C64,$D$2:$D$400,D64)&lt;2),"TRANSFER UNMATCHED",IF(AND(MAX(G64,H64)&gt;=100,IFERROR(IF(G64&gt;0,G64&gt;5*(SUMIFS($G$2:$G$400,$D$2:$D$400,D64)-G64)/(COUNTIFS($D$2:$D$400,D64,$G$2:$G$400,"&gt;0")-1),H64&gt;5*(SUMIFS($H$2:$H$400,$D$2:$D$400,D64)-H64)/(COUNTIFS($D$2:$D$400,D64,$H$2:$H$400,"&gt;0")-1)),FALSE)),"UNUSUAL QTY","OK"))))))</f>
        <v>DUPLICATE ENTRY</v>
      </c>
      <c r="M64" t="inlineStr">
        <is>
          <t>Re-keyed from scan</t>
        </is>
      </c>
      <c r="N64">
        <f>IF(AND(L64&lt;&gt;"OK",K64=Weekly_Report!$C$4),COUNTIFS($L$2:L64,"&lt;&gt;OK",$K$2:K64,Weekly_Report!$C$4),"")</f>
        <v>2</v>
      </c>
    </row>
    <row r="65">
      <c r="A65" s="2" t="n">
        <v>46317</v>
      </c>
      <c r="B65" t="inlineStr">
        <is>
          <t>DN</t>
        </is>
      </c>
      <c r="C65" t="inlineStr">
        <is>
          <t>DN-8835</t>
        </is>
      </c>
      <c r="D65" t="inlineStr">
        <is>
          <t>SF-3002</t>
        </is>
      </c>
      <c r="E65" t="str">
        <f>IFERROR(INDEX(Items!$B$2:$B$19,MATCH(D65,Items!$A$2:$A$19,0)),"? not on Items")</f>
        <v>Hi-vis vest</v>
      </c>
      <c r="F65" t="inlineStr">
        <is>
          <t>Annex</t>
        </is>
      </c>
      <c r="G65" s="3" t="n">
        <v>0</v>
      </c>
      <c r="H65" s="3" t="n">
        <v>30</v>
      </c>
      <c r="I65" t="inlineStr">
        <is>
          <t>Priya</t>
        </is>
      </c>
      <c r="J65">
        <f>IFERROR(INDEX(IF(F65="Main",Items!$D$2:$D$19,Items!$E$2:$E$19),MATCH(D65,Items!$A$2:$A$19,0)),0)+SUMIFS($G$2:G65,$D$2:D65,D65,$F$2:F65,F65)-SUMIFS($H$2:H65,$D$2:D65,D65,$F$2:F65,F65)</f>
        <v>5</v>
      </c>
      <c r="K65" s="2">
        <f>A65-WEEKDAY(A65,3)</f>
        <v>46314.0</v>
      </c>
      <c r="L65" t="str">
        <f>IF(C65="","MISSING DOC NO",IF(ISNA(MATCH(D65,Items!$A$2:$A$19,0)),"UNKNOWN SKU",IF(COUNTIFS($C$2:$C$400,C65,$D$2:$D$400,D65,$F$2:$F$400,F65,$G$2:$G$400,G65,$H$2:$H$400,H65)&gt;1,"DUPLICATE ENTRY",IF(J65&lt;0,"NEGATIVE BALANCE",IF(AND(B65="TRF",COUNTIFS($C$2:$C$400,C65,$D$2:$D$400,D65)&lt;2),"TRANSFER UNMATCHED",IF(AND(MAX(G65,H65)&gt;=100,IFERROR(IF(G65&gt;0,G65&gt;5*(SUMIFS($G$2:$G$400,$D$2:$D$400,D65)-G65)/(COUNTIFS($D$2:$D$400,D65,$G$2:$G$400,"&gt;0")-1),H65&gt;5*(SUMIFS($H$2:$H$400,$D$2:$D$400,D65)-H65)/(COUNTIFS($D$2:$D$400,D65,$H$2:$H$400,"&gt;0")-1)),FALSE)),"UNUSUAL QTY","OK"))))))</f>
        <v>OK</v>
      </c>
      <c r="N65">
        <f>IF(AND(L65&lt;&gt;"OK",K65=Weekly_Report!$C$4),COUNTIFS($L$2:L65,"&lt;&gt;OK",$K$2:K65,Weekly_Report!$C$4),"")</f>
      </c>
    </row>
    <row r="66">
      <c r="A66" s="2" t="n">
        <v>46317</v>
      </c>
      <c r="B66" t="inlineStr">
        <is>
          <t>DN</t>
        </is>
      </c>
      <c r="C66" t="inlineStr">
        <is>
          <t>DN-8836</t>
        </is>
      </c>
      <c r="D66" t="inlineStr">
        <is>
          <t>SF-3001</t>
        </is>
      </c>
      <c r="E66" t="str">
        <f>IFERROR(INDEX(Items!$B$2:$B$19,MATCH(D66,Items!$A$2:$A$19,0)),"? not on Items")</f>
        <v>Safety gloves (pair)</v>
      </c>
      <c r="F66" t="inlineStr">
        <is>
          <t>Main</t>
        </is>
      </c>
      <c r="G66" s="3" t="n">
        <v>0</v>
      </c>
      <c r="H66" s="3" t="n">
        <v>32</v>
      </c>
      <c r="I66" t="inlineStr">
        <is>
          <t>Ravi</t>
        </is>
      </c>
      <c r="J66">
        <f>IFERROR(INDEX(IF(F66="Main",Items!$D$2:$D$19,Items!$E$2:$E$19),MATCH(D66,Items!$A$2:$A$19,0)),0)+SUMIFS($G$2:G66,$D$2:D66,D66,$F$2:F66,F66)-SUMIFS($H$2:H66,$D$2:D66,D66,$F$2:F66,F66)</f>
        <v>24</v>
      </c>
      <c r="K66" s="2">
        <f>A66-WEEKDAY(A66,3)</f>
        <v>46314.0</v>
      </c>
      <c r="L66" t="str">
        <f>IF(C66="","MISSING DOC NO",IF(ISNA(MATCH(D66,Items!$A$2:$A$19,0)),"UNKNOWN SKU",IF(COUNTIFS($C$2:$C$400,C66,$D$2:$D$400,D66,$F$2:$F$400,F66,$G$2:$G$400,G66,$H$2:$H$400,H66)&gt;1,"DUPLICATE ENTRY",IF(J66&lt;0,"NEGATIVE BALANCE",IF(AND(B66="TRF",COUNTIFS($C$2:$C$400,C66,$D$2:$D$400,D66)&lt;2),"TRANSFER UNMATCHED",IF(AND(MAX(G66,H66)&gt;=100,IFERROR(IF(G66&gt;0,G66&gt;5*(SUMIFS($G$2:$G$400,$D$2:$D$400,D66)-G66)/(COUNTIFS($D$2:$D$400,D66,$G$2:$G$400,"&gt;0")-1),H66&gt;5*(SUMIFS($H$2:$H$400,$D$2:$D$400,D66)-H66)/(COUNTIFS($D$2:$D$400,D66,$H$2:$H$400,"&gt;0")-1)),FALSE)),"UNUSUAL QTY","OK"))))))</f>
        <v>OK</v>
      </c>
      <c r="N66">
        <f>IF(AND(L66&lt;&gt;"OK",K66=Weekly_Report!$C$4),COUNTIFS($L$2:L66,"&lt;&gt;OK",$K$2:K66,Weekly_Report!$C$4),"")</f>
      </c>
    </row>
    <row r="67">
      <c r="A67" s="2" t="n">
        <v>46317</v>
      </c>
      <c r="B67" t="inlineStr">
        <is>
          <t>DN</t>
        </is>
      </c>
      <c r="C67" t="inlineStr">
        <is>
          <t>DN-8837</t>
        </is>
      </c>
      <c r="D67" t="inlineStr">
        <is>
          <t>PK-1005</t>
        </is>
      </c>
      <c r="E67" t="str">
        <f>IFERROR(INDEX(Items!$B$2:$B$19,MATCH(D67,Items!$A$2:$A$19,0)),"? not on Items")</f>
        <v>Bubble wrap 1m x 50m</v>
      </c>
      <c r="F67" t="inlineStr">
        <is>
          <t>Annex</t>
        </is>
      </c>
      <c r="G67" s="3" t="n">
        <v>0</v>
      </c>
      <c r="H67" s="3" t="n">
        <v>24</v>
      </c>
      <c r="I67" t="inlineStr">
        <is>
          <t>Ravi</t>
        </is>
      </c>
      <c r="J67">
        <f>IFERROR(INDEX(IF(F67="Main",Items!$D$2:$D$19,Items!$E$2:$E$19),MATCH(D67,Items!$A$2:$A$19,0)),0)+SUMIFS($G$2:G67,$D$2:D67,D67,$F$2:F67,F67)-SUMIFS($H$2:H67,$D$2:D67,D67,$F$2:F67,F67)</f>
        <v>36</v>
      </c>
      <c r="K67" s="2">
        <f>A67-WEEKDAY(A67,3)</f>
        <v>46314.0</v>
      </c>
      <c r="L67" t="str">
        <f>IF(C67="","MISSING DOC NO",IF(ISNA(MATCH(D67,Items!$A$2:$A$19,0)),"UNKNOWN SKU",IF(COUNTIFS($C$2:$C$400,C67,$D$2:$D$400,D67,$F$2:$F$400,F67,$G$2:$G$400,G67,$H$2:$H$400,H67)&gt;1,"DUPLICATE ENTRY",IF(J67&lt;0,"NEGATIVE BALANCE",IF(AND(B67="TRF",COUNTIFS($C$2:$C$400,C67,$D$2:$D$400,D67)&lt;2),"TRANSFER UNMATCHED",IF(AND(MAX(G67,H67)&gt;=100,IFERROR(IF(G67&gt;0,G67&gt;5*(SUMIFS($G$2:$G$400,$D$2:$D$400,D67)-G67)/(COUNTIFS($D$2:$D$400,D67,$G$2:$G$400,"&gt;0")-1),H67&gt;5*(SUMIFS($H$2:$H$400,$D$2:$D$400,D67)-H67)/(COUNTIFS($D$2:$D$400,D67,$H$2:$H$400,"&gt;0")-1)),FALSE)),"UNUSUAL QTY","OK"))))))</f>
        <v>OK</v>
      </c>
      <c r="N67">
        <f>IF(AND(L67&lt;&gt;"OK",K67=Weekly_Report!$C$4),COUNTIFS($L$2:L67,"&lt;&gt;OK",$K$2:K67,Weekly_Report!$C$4),"")</f>
      </c>
    </row>
    <row r="68">
      <c r="A68" s="2" t="n">
        <v>46317</v>
      </c>
      <c r="B68" t="inlineStr">
        <is>
          <t>DN</t>
        </is>
      </c>
      <c r="C68" t="inlineStr">
        <is>
          <t>DN-8838</t>
        </is>
      </c>
      <c r="D68" t="inlineStr">
        <is>
          <t>PK-1003</t>
        </is>
      </c>
      <c r="E68" t="str">
        <f>IFERROR(INDEX(Items!$B$2:$B$19,MATCH(D68,Items!$A$2:$A$19,0)),"? not on Items")</f>
        <v>Stretch film 500mm</v>
      </c>
      <c r="F68" t="inlineStr">
        <is>
          <t>Main</t>
        </is>
      </c>
      <c r="G68" s="3" t="n">
        <v>0</v>
      </c>
      <c r="H68" s="3" t="n">
        <v>17</v>
      </c>
      <c r="I68" t="inlineStr">
        <is>
          <t>Ravi</t>
        </is>
      </c>
      <c r="J68">
        <f>IFERROR(INDEX(IF(F68="Main",Items!$D$2:$D$19,Items!$E$2:$E$19),MATCH(D68,Items!$A$2:$A$19,0)),0)+SUMIFS($G$2:G68,$D$2:D68,D68,$F$2:F68,F68)-SUMIFS($H$2:H68,$D$2:D68,D68,$F$2:F68,F68)</f>
        <v>166</v>
      </c>
      <c r="K68" s="2">
        <f>A68-WEEKDAY(A68,3)</f>
        <v>46314.0</v>
      </c>
      <c r="L68" t="str">
        <f>IF(C68="","MISSING DOC NO",IF(ISNA(MATCH(D68,Items!$A$2:$A$19,0)),"UNKNOWN SKU",IF(COUNTIFS($C$2:$C$400,C68,$D$2:$D$400,D68,$F$2:$F$400,F68,$G$2:$G$400,G68,$H$2:$H$400,H68)&gt;1,"DUPLICATE ENTRY",IF(J68&lt;0,"NEGATIVE BALANCE",IF(AND(B68="TRF",COUNTIFS($C$2:$C$400,C68,$D$2:$D$400,D68)&lt;2),"TRANSFER UNMATCHED",IF(AND(MAX(G68,H68)&gt;=100,IFERROR(IF(G68&gt;0,G68&gt;5*(SUMIFS($G$2:$G$400,$D$2:$D$400,D68)-G68)/(COUNTIFS($D$2:$D$400,D68,$G$2:$G$400,"&gt;0")-1),H68&gt;5*(SUMIFS($H$2:$H$400,$D$2:$D$400,D68)-H68)/(COUNTIFS($D$2:$D$400,D68,$H$2:$H$400,"&gt;0")-1)),FALSE)),"UNUSUAL QTY","OK"))))))</f>
        <v>OK</v>
      </c>
      <c r="N68">
        <f>IF(AND(L68&lt;&gt;"OK",K68=Weekly_Report!$C$4),COUNTIFS($L$2:L68,"&lt;&gt;OK",$K$2:K68,Weekly_Report!$C$4),"")</f>
      </c>
    </row>
    <row r="69">
      <c r="A69" s="2" t="n">
        <v>46317</v>
      </c>
      <c r="B69" t="inlineStr">
        <is>
          <t>DN</t>
        </is>
      </c>
      <c r="C69" t="inlineStr">
        <is>
          <t>DN-8839</t>
        </is>
      </c>
      <c r="D69" t="inlineStr">
        <is>
          <t>LB-4001</t>
        </is>
      </c>
      <c r="E69" t="str">
        <f>IFERROR(INDEX(Items!$B$2:$B$19,MATCH(D69,Items!$A$2:$A$19,0)),"? not on Items")</f>
        <v>Thermal label 100x150</v>
      </c>
      <c r="F69" t="inlineStr">
        <is>
          <t>Annex</t>
        </is>
      </c>
      <c r="G69" s="3" t="n">
        <v>0</v>
      </c>
      <c r="H69" s="3" t="n">
        <v>3</v>
      </c>
      <c r="I69" t="inlineStr">
        <is>
          <t>Manaz</t>
        </is>
      </c>
      <c r="J69">
        <f>IFERROR(INDEX(IF(F69="Main",Items!$D$2:$D$19,Items!$E$2:$E$19),MATCH(D69,Items!$A$2:$A$19,0)),0)+SUMIFS($G$2:G69,$D$2:D69,D69,$F$2:F69,F69)-SUMIFS($H$2:H69,$D$2:D69,D69,$F$2:F69,F69)</f>
        <v>5</v>
      </c>
      <c r="K69" s="2">
        <f>A69-WEEKDAY(A69,3)</f>
        <v>46314.0</v>
      </c>
      <c r="L69" t="str">
        <f>IF(C69="","MISSING DOC NO",IF(ISNA(MATCH(D69,Items!$A$2:$A$19,0)),"UNKNOWN SKU",IF(COUNTIFS($C$2:$C$400,C69,$D$2:$D$400,D69,$F$2:$F$400,F69,$G$2:$G$400,G69,$H$2:$H$400,H69)&gt;1,"DUPLICATE ENTRY",IF(J69&lt;0,"NEGATIVE BALANCE",IF(AND(B69="TRF",COUNTIFS($C$2:$C$400,C69,$D$2:$D$400,D69)&lt;2),"TRANSFER UNMATCHED",IF(AND(MAX(G69,H69)&gt;=100,IFERROR(IF(G69&gt;0,G69&gt;5*(SUMIFS($G$2:$G$400,$D$2:$D$400,D69)-G69)/(COUNTIFS($D$2:$D$400,D69,$G$2:$G$400,"&gt;0")-1),H69&gt;5*(SUMIFS($H$2:$H$400,$D$2:$D$400,D69)-H69)/(COUNTIFS($D$2:$D$400,D69,$H$2:$H$400,"&gt;0")-1)),FALSE)),"UNUSUAL QTY","OK"))))))</f>
        <v>OK</v>
      </c>
      <c r="N69">
        <f>IF(AND(L69&lt;&gt;"OK",K69=Weekly_Report!$C$4),COUNTIFS($L$2:L69,"&lt;&gt;OK",$K$2:K69,Weekly_Report!$C$4),"")</f>
      </c>
    </row>
    <row r="70">
      <c r="A70" s="2" t="n">
        <v>46317</v>
      </c>
      <c r="B70" t="inlineStr">
        <is>
          <t>TRF</t>
        </is>
      </c>
      <c r="C70" t="inlineStr">
        <is>
          <t>TRF-307</t>
        </is>
      </c>
      <c r="D70" t="inlineStr">
        <is>
          <t>SF-3002</t>
        </is>
      </c>
      <c r="E70" t="str">
        <f>IFERROR(INDEX(Items!$B$2:$B$19,MATCH(D70,Items!$A$2:$A$19,0)),"? not on Items")</f>
        <v>Hi-vis vest</v>
      </c>
      <c r="F70" t="inlineStr">
        <is>
          <t>Main</t>
        </is>
      </c>
      <c r="G70" s="3" t="n">
        <v>0</v>
      </c>
      <c r="H70" s="3" t="n">
        <v>10</v>
      </c>
      <c r="I70" t="inlineStr">
        <is>
          <t>Ravi</t>
        </is>
      </c>
      <c r="J70">
        <f>IFERROR(INDEX(IF(F70="Main",Items!$D$2:$D$19,Items!$E$2:$E$19),MATCH(D70,Items!$A$2:$A$19,0)),0)+SUMIFS($G$2:G70,$D$2:D70,D70,$F$2:F70,F70)-SUMIFS($H$2:H70,$D$2:D70,D70,$F$2:F70,F70)</f>
        <v>209</v>
      </c>
      <c r="K70" s="2">
        <f>A70-WEEKDAY(A70,3)</f>
        <v>46314.0</v>
      </c>
      <c r="L70" t="str">
        <f>IF(C70="","MISSING DOC NO",IF(ISNA(MATCH(D70,Items!$A$2:$A$19,0)),"UNKNOWN SKU",IF(COUNTIFS($C$2:$C$400,C70,$D$2:$D$400,D70,$F$2:$F$400,F70,$G$2:$G$400,G70,$H$2:$H$400,H70)&gt;1,"DUPLICATE ENTRY",IF(J70&lt;0,"NEGATIVE BALANCE",IF(AND(B70="TRF",COUNTIFS($C$2:$C$400,C70,$D$2:$D$400,D70)&lt;2),"TRANSFER UNMATCHED",IF(AND(MAX(G70,H70)&gt;=100,IFERROR(IF(G70&gt;0,G70&gt;5*(SUMIFS($G$2:$G$400,$D$2:$D$400,D70)-G70)/(COUNTIFS($D$2:$D$400,D70,$G$2:$G$400,"&gt;0")-1),H70&gt;5*(SUMIFS($H$2:$H$400,$D$2:$D$400,D70)-H70)/(COUNTIFS($D$2:$D$400,D70,$H$2:$H$400,"&gt;0")-1)),FALSE)),"UNUSUAL QTY","OK"))))))</f>
        <v>OK</v>
      </c>
      <c r="M70" t="inlineStr">
        <is>
          <t>To Annex</t>
        </is>
      </c>
      <c r="N70">
        <f>IF(AND(L70&lt;&gt;"OK",K70=Weekly_Report!$C$4),COUNTIFS($L$2:L70,"&lt;&gt;OK",$K$2:K70,Weekly_Report!$C$4),"")</f>
      </c>
    </row>
    <row r="71">
      <c r="A71" s="2" t="n">
        <v>46317</v>
      </c>
      <c r="B71" t="inlineStr">
        <is>
          <t>TRF</t>
        </is>
      </c>
      <c r="C71" t="inlineStr">
        <is>
          <t>TRF-307</t>
        </is>
      </c>
      <c r="D71" t="inlineStr">
        <is>
          <t>SF-3002</t>
        </is>
      </c>
      <c r="E71" t="str">
        <f>IFERROR(INDEX(Items!$B$2:$B$19,MATCH(D71,Items!$A$2:$A$19,0)),"? not on Items")</f>
        <v>Hi-vis vest</v>
      </c>
      <c r="F71" t="inlineStr">
        <is>
          <t>Annex</t>
        </is>
      </c>
      <c r="G71" s="3" t="n">
        <v>10</v>
      </c>
      <c r="H71" s="3" t="n">
        <v>0</v>
      </c>
      <c r="I71" t="inlineStr">
        <is>
          <t>Ravi</t>
        </is>
      </c>
      <c r="J71">
        <f>IFERROR(INDEX(IF(F71="Main",Items!$D$2:$D$19,Items!$E$2:$E$19),MATCH(D71,Items!$A$2:$A$19,0)),0)+SUMIFS($G$2:G71,$D$2:D71,D71,$F$2:F71,F71)-SUMIFS($H$2:H71,$D$2:D71,D71,$F$2:F71,F71)</f>
        <v>15</v>
      </c>
      <c r="K71" s="2">
        <f>A71-WEEKDAY(A71,3)</f>
        <v>46314.0</v>
      </c>
      <c r="L71" t="str">
        <f>IF(C71="","MISSING DOC NO",IF(ISNA(MATCH(D71,Items!$A$2:$A$19,0)),"UNKNOWN SKU",IF(COUNTIFS($C$2:$C$400,C71,$D$2:$D$400,D71,$F$2:$F$400,F71,$G$2:$G$400,G71,$H$2:$H$400,H71)&gt;1,"DUPLICATE ENTRY",IF(J71&lt;0,"NEGATIVE BALANCE",IF(AND(B71="TRF",COUNTIFS($C$2:$C$400,C71,$D$2:$D$400,D71)&lt;2),"TRANSFER UNMATCHED",IF(AND(MAX(G71,H71)&gt;=100,IFERROR(IF(G71&gt;0,G71&gt;5*(SUMIFS($G$2:$G$400,$D$2:$D$400,D71)-G71)/(COUNTIFS($D$2:$D$400,D71,$G$2:$G$400,"&gt;0")-1),H71&gt;5*(SUMIFS($H$2:$H$400,$D$2:$D$400,D71)-H71)/(COUNTIFS($D$2:$D$400,D71,$H$2:$H$400,"&gt;0")-1)),FALSE)),"UNUSUAL QTY","OK"))))))</f>
        <v>OK</v>
      </c>
      <c r="M71" t="inlineStr">
        <is>
          <t>From Main</t>
        </is>
      </c>
      <c r="N71">
        <f>IF(AND(L71&lt;&gt;"OK",K71=Weekly_Report!$C$4),COUNTIFS($L$2:L71,"&lt;&gt;OK",$K$2:K71,Weekly_Report!$C$4),"")</f>
      </c>
    </row>
    <row r="72">
      <c r="A72" s="2" t="n">
        <v>46317</v>
      </c>
      <c r="B72" t="inlineStr">
        <is>
          <t>DN</t>
        </is>
      </c>
      <c r="D72" t="inlineStr">
        <is>
          <t>SF-3001</t>
        </is>
      </c>
      <c r="E72" t="str">
        <f>IFERROR(INDEX(Items!$B$2:$B$19,MATCH(D72,Items!$A$2:$A$19,0)),"? not on Items")</f>
        <v>Safety gloves (pair)</v>
      </c>
      <c r="F72" t="inlineStr">
        <is>
          <t>Main</t>
        </is>
      </c>
      <c r="G72" s="3" t="n">
        <v>0</v>
      </c>
      <c r="H72" s="3" t="n">
        <v>12</v>
      </c>
      <c r="I72" t="inlineStr">
        <is>
          <t>Ravi</t>
        </is>
      </c>
      <c r="J72">
        <f>IFERROR(INDEX(IF(F72="Main",Items!$D$2:$D$19,Items!$E$2:$E$19),MATCH(D72,Items!$A$2:$A$19,0)),0)+SUMIFS($G$2:G72,$D$2:D72,D72,$F$2:F72,F72)-SUMIFS($H$2:H72,$D$2:D72,D72,$F$2:F72,F72)</f>
        <v>12</v>
      </c>
      <c r="K72" s="2">
        <f>A72-WEEKDAY(A72,3)</f>
        <v>46314.0</v>
      </c>
      <c r="L72" t="str">
        <f>IF(C72="","MISSING DOC NO",IF(ISNA(MATCH(D72,Items!$A$2:$A$19,0)),"UNKNOWN SKU",IF(COUNTIFS($C$2:$C$400,C72,$D$2:$D$400,D72,$F$2:$F$400,F72,$G$2:$G$400,G72,$H$2:$H$400,H72)&gt;1,"DUPLICATE ENTRY",IF(J72&lt;0,"NEGATIVE BALANCE",IF(AND(B72="TRF",COUNTIFS($C$2:$C$400,C72,$D$2:$D$400,D72)&lt;2),"TRANSFER UNMATCHED",IF(AND(MAX(G72,H72)&gt;=100,IFERROR(IF(G72&gt;0,G72&gt;5*(SUMIFS($G$2:$G$400,$D$2:$D$400,D72)-G72)/(COUNTIFS($D$2:$D$400,D72,$G$2:$G$400,"&gt;0")-1),H72&gt;5*(SUMIFS($H$2:$H$400,$D$2:$D$400,D72)-H72)/(COUNTIFS($D$2:$D$400,D72,$H$2:$H$400,"&gt;0")-1)),FALSE)),"UNUSUAL QTY","OK"))))))</f>
        <v>MISSING DOC NO</v>
      </c>
      <c r="M72" t="inlineStr">
        <is>
          <t>Doc no. missing on slip</t>
        </is>
      </c>
      <c r="N72">
        <f>IF(AND(L72&lt;&gt;"OK",K72=Weekly_Report!$C$4),COUNTIFS($L$2:L72,"&lt;&gt;OK",$K$2:K72,Weekly_Report!$C$4),"")</f>
        <v>3</v>
      </c>
    </row>
    <row r="73">
      <c r="A73" s="2" t="n">
        <v>46317</v>
      </c>
      <c r="B73" t="inlineStr">
        <is>
          <t>DN</t>
        </is>
      </c>
      <c r="C73" t="inlineStr">
        <is>
          <t>DN-8999</t>
        </is>
      </c>
      <c r="D73" t="inlineStr">
        <is>
          <t>ST-7002</t>
        </is>
      </c>
      <c r="E73" t="str">
        <f>IFERROR(INDEX(Items!$B$2:$B$19,MATCH(D73,Items!$A$2:$A$19,0)),"? not on Items")</f>
        <v>Shelf bin large</v>
      </c>
      <c r="F73" t="inlineStr">
        <is>
          <t>Annex</t>
        </is>
      </c>
      <c r="G73" s="3" t="n">
        <v>0</v>
      </c>
      <c r="H73" s="3" t="n">
        <v>25</v>
      </c>
      <c r="I73" t="inlineStr">
        <is>
          <t>Priya</t>
        </is>
      </c>
      <c r="J73">
        <f>IFERROR(INDEX(IF(F73="Main",Items!$D$2:$D$19,Items!$E$2:$E$19),MATCH(D73,Items!$A$2:$A$19,0)),0)+SUMIFS($G$2:G73,$D$2:D73,D73,$F$2:F73,F73)-SUMIFS($H$2:H73,$D$2:D73,D73,$F$2:F73,F73)</f>
        <v>-15</v>
      </c>
      <c r="K73" s="2">
        <f>A73-WEEKDAY(A73,3)</f>
        <v>46314.0</v>
      </c>
      <c r="L73" t="str">
        <f>IF(C73="","MISSING DOC NO",IF(ISNA(MATCH(D73,Items!$A$2:$A$19,0)),"UNKNOWN SKU",IF(COUNTIFS($C$2:$C$400,C73,$D$2:$D$400,D73,$F$2:$F$400,F73,$G$2:$G$400,G73,$H$2:$H$400,H73)&gt;1,"DUPLICATE ENTRY",IF(J73&lt;0,"NEGATIVE BALANCE",IF(AND(B73="TRF",COUNTIFS($C$2:$C$400,C73,$D$2:$D$400,D73)&lt;2),"TRANSFER UNMATCHED",IF(AND(MAX(G73,H73)&gt;=100,IFERROR(IF(G73&gt;0,G73&gt;5*(SUMIFS($G$2:$G$400,$D$2:$D$400,D73)-G73)/(COUNTIFS($D$2:$D$400,D73,$G$2:$G$400,"&gt;0")-1),H73&gt;5*(SUMIFS($H$2:$H$400,$D$2:$D$400,D73)-H73)/(COUNTIFS($D$2:$D$400,D73,$H$2:$H$400,"&gt;0")-1)),FALSE)),"UNUSUAL QTY","OK"))))))</f>
        <v>NEGATIVE BALANCE</v>
      </c>
      <c r="N73">
        <f>IF(AND(L73&lt;&gt;"OK",K73=Weekly_Report!$C$4),COUNTIFS($L$2:L73,"&lt;&gt;OK",$K$2:K73,Weekly_Report!$C$4),"")</f>
        <v>4</v>
      </c>
    </row>
    <row r="74">
      <c r="A74" s="2" t="n">
        <v>46318</v>
      </c>
      <c r="B74" t="inlineStr">
        <is>
          <t>GRN</t>
        </is>
      </c>
      <c r="C74" t="inlineStr">
        <is>
          <t>GRN-5117</t>
        </is>
      </c>
      <c r="D74" t="inlineStr">
        <is>
          <t>SF-3001</t>
        </is>
      </c>
      <c r="E74" t="str">
        <f>IFERROR(INDEX(Items!$B$2:$B$19,MATCH(D74,Items!$A$2:$A$19,0)),"? not on Items")</f>
        <v>Safety gloves (pair)</v>
      </c>
      <c r="F74" t="inlineStr">
        <is>
          <t>Main</t>
        </is>
      </c>
      <c r="G74" s="3" t="n">
        <v>100</v>
      </c>
      <c r="H74" s="3" t="n">
        <v>0</v>
      </c>
      <c r="I74" t="inlineStr">
        <is>
          <t>Ravi</t>
        </is>
      </c>
      <c r="J74">
        <f>IFERROR(INDEX(IF(F74="Main",Items!$D$2:$D$19,Items!$E$2:$E$19),MATCH(D74,Items!$A$2:$A$19,0)),0)+SUMIFS($G$2:G74,$D$2:D74,D74,$F$2:F74,F74)-SUMIFS($H$2:H74,$D$2:D74,D74,$F$2:F74,F74)</f>
        <v>112</v>
      </c>
      <c r="K74" s="2">
        <f>A74-WEEKDAY(A74,3)</f>
        <v>46314.0</v>
      </c>
      <c r="L74" t="str">
        <f>IF(C74="","MISSING DOC NO",IF(ISNA(MATCH(D74,Items!$A$2:$A$19,0)),"UNKNOWN SKU",IF(COUNTIFS($C$2:$C$400,C74,$D$2:$D$400,D74,$F$2:$F$400,F74,$G$2:$G$400,G74,$H$2:$H$400,H74)&gt;1,"DUPLICATE ENTRY",IF(J74&lt;0,"NEGATIVE BALANCE",IF(AND(B74="TRF",COUNTIFS($C$2:$C$400,C74,$D$2:$D$400,D74)&lt;2),"TRANSFER UNMATCHED",IF(AND(MAX(G74,H74)&gt;=100,IFERROR(IF(G74&gt;0,G74&gt;5*(SUMIFS($G$2:$G$400,$D$2:$D$400,D74)-G74)/(COUNTIFS($D$2:$D$400,D74,$G$2:$G$400,"&gt;0")-1),H74&gt;5*(SUMIFS($H$2:$H$400,$D$2:$D$400,D74)-H74)/(COUNTIFS($D$2:$D$400,D74,$H$2:$H$400,"&gt;0")-1)),FALSE)),"UNUSUAL QTY","OK"))))))</f>
        <v>OK</v>
      </c>
      <c r="N74">
        <f>IF(AND(L74&lt;&gt;"OK",K74=Weekly_Report!$C$4),COUNTIFS($L$2:L74,"&lt;&gt;OK",$K$2:K74,Weekly_Report!$C$4),"")</f>
      </c>
    </row>
    <row r="75">
      <c r="A75" s="2" t="n">
        <v>46318</v>
      </c>
      <c r="B75" t="inlineStr">
        <is>
          <t>GRN</t>
        </is>
      </c>
      <c r="C75" t="inlineStr">
        <is>
          <t>GRN-5199</t>
        </is>
      </c>
      <c r="D75" t="inlineStr">
        <is>
          <t>PK-1004</t>
        </is>
      </c>
      <c r="E75" t="str">
        <f>IFERROR(INDEX(Items!$B$2:$B$19,MATCH(D75,Items!$A$2:$A$19,0)),"? not on Items")</f>
        <v>Packing tape 48mm</v>
      </c>
      <c r="F75" t="inlineStr">
        <is>
          <t>Main</t>
        </is>
      </c>
      <c r="G75" s="3" t="n">
        <v>960</v>
      </c>
      <c r="H75" s="3" t="n">
        <v>0</v>
      </c>
      <c r="I75" t="inlineStr">
        <is>
          <t>Manaz</t>
        </is>
      </c>
      <c r="J75">
        <f>IFERROR(INDEX(IF(F75="Main",Items!$D$2:$D$19,Items!$E$2:$E$19),MATCH(D75,Items!$A$2:$A$19,0)),0)+SUMIFS($G$2:G75,$D$2:D75,D75,$F$2:F75,F75)-SUMIFS($H$2:H75,$D$2:D75,D75,$F$2:F75,F75)</f>
        <v>1282</v>
      </c>
      <c r="K75" s="2">
        <f>A75-WEEKDAY(A75,3)</f>
        <v>46314.0</v>
      </c>
      <c r="L75" t="str">
        <f>IF(C75="","MISSING DOC NO",IF(ISNA(MATCH(D75,Items!$A$2:$A$19,0)),"UNKNOWN SKU",IF(COUNTIFS($C$2:$C$400,C75,$D$2:$D$400,D75,$F$2:$F$400,F75,$G$2:$G$400,G75,$H$2:$H$400,H75)&gt;1,"DUPLICATE ENTRY",IF(J75&lt;0,"NEGATIVE BALANCE",IF(AND(B75="TRF",COUNTIFS($C$2:$C$400,C75,$D$2:$D$400,D75)&lt;2),"TRANSFER UNMATCHED",IF(AND(MAX(G75,H75)&gt;=100,IFERROR(IF(G75&gt;0,G75&gt;5*(SUMIFS($G$2:$G$400,$D$2:$D$400,D75)-G75)/(COUNTIFS($D$2:$D$400,D75,$G$2:$G$400,"&gt;0")-1),H75&gt;5*(SUMIFS($H$2:$H$400,$D$2:$D$400,D75)-H75)/(COUNTIFS($D$2:$D$400,D75,$H$2:$H$400,"&gt;0")-1)),FALSE)),"UNUSUAL QTY","OK"))))))</f>
        <v>UNUSUAL QTY</v>
      </c>
      <c r="M75" t="inlineStr">
        <is>
          <t>Receipt shows 96?</t>
        </is>
      </c>
      <c r="N75">
        <f>IF(AND(L75&lt;&gt;"OK",K75=Weekly_Report!$C$4),COUNTIFS($L$2:L75,"&lt;&gt;OK",$K$2:K75,Weekly_Report!$C$4),"")</f>
        <v>5</v>
      </c>
    </row>
    <row r="76">
      <c r="A76" s="2" t="n">
        <v>46318</v>
      </c>
      <c r="B76" t="inlineStr">
        <is>
          <t>TRF</t>
        </is>
      </c>
      <c r="C76" t="inlineStr">
        <is>
          <t>TRF-308</t>
        </is>
      </c>
      <c r="D76" t="inlineStr">
        <is>
          <t>CL-5002</t>
        </is>
      </c>
      <c r="E76" t="str">
        <f>IFERROR(INDEX(Items!$B$2:$B$19,MATCH(D76,Items!$A$2:$A$19,0)),"? not on Items")</f>
        <v>Industrial wipes</v>
      </c>
      <c r="F76" t="inlineStr">
        <is>
          <t>Main</t>
        </is>
      </c>
      <c r="G76" s="3" t="n">
        <v>0</v>
      </c>
      <c r="H76" s="3" t="n">
        <v>30</v>
      </c>
      <c r="I76" t="inlineStr">
        <is>
          <t>Manaz</t>
        </is>
      </c>
      <c r="J76">
        <f>IFERROR(INDEX(IF(F76="Main",Items!$D$2:$D$19,Items!$E$2:$E$19),MATCH(D76,Items!$A$2:$A$19,0)),0)+SUMIFS($G$2:G76,$D$2:D76,D76,$F$2:F76,F76)-SUMIFS($H$2:H76,$D$2:D76,D76,$F$2:F76,F76)</f>
        <v>309</v>
      </c>
      <c r="K76" s="2">
        <f>A76-WEEKDAY(A76,3)</f>
        <v>46314.0</v>
      </c>
      <c r="L76" t="str">
        <f>IF(C76="","MISSING DOC NO",IF(ISNA(MATCH(D76,Items!$A$2:$A$19,0)),"UNKNOWN SKU",IF(COUNTIFS($C$2:$C$400,C76,$D$2:$D$400,D76,$F$2:$F$400,F76,$G$2:$G$400,G76,$H$2:$H$400,H76)&gt;1,"DUPLICATE ENTRY",IF(J76&lt;0,"NEGATIVE BALANCE",IF(AND(B76="TRF",COUNTIFS($C$2:$C$400,C76,$D$2:$D$400,D76)&lt;2),"TRANSFER UNMATCHED",IF(AND(MAX(G76,H76)&gt;=100,IFERROR(IF(G76&gt;0,G76&gt;5*(SUMIFS($G$2:$G$400,$D$2:$D$400,D76)-G76)/(COUNTIFS($D$2:$D$400,D76,$G$2:$G$400,"&gt;0")-1),H76&gt;5*(SUMIFS($H$2:$H$400,$D$2:$D$400,D76)-H76)/(COUNTIFS($D$2:$D$400,D76,$H$2:$H$400,"&gt;0")-1)),FALSE)),"UNUSUAL QTY","OK"))))))</f>
        <v>OK</v>
      </c>
      <c r="M76" t="inlineStr">
        <is>
          <t>To Annex</t>
        </is>
      </c>
      <c r="N76">
        <f>IF(AND(L76&lt;&gt;"OK",K76=Weekly_Report!$C$4),COUNTIFS($L$2:L76,"&lt;&gt;OK",$K$2:K76,Weekly_Report!$C$4),"")</f>
      </c>
    </row>
    <row r="77">
      <c r="A77" s="2" t="n">
        <v>46318</v>
      </c>
      <c r="B77" t="inlineStr">
        <is>
          <t>TRF</t>
        </is>
      </c>
      <c r="C77" t="inlineStr">
        <is>
          <t>TRF-308</t>
        </is>
      </c>
      <c r="D77" t="inlineStr">
        <is>
          <t>CL-5002</t>
        </is>
      </c>
      <c r="E77" t="str">
        <f>IFERROR(INDEX(Items!$B$2:$B$19,MATCH(D77,Items!$A$2:$A$19,0)),"? not on Items")</f>
        <v>Industrial wipes</v>
      </c>
      <c r="F77" t="inlineStr">
        <is>
          <t>Annex</t>
        </is>
      </c>
      <c r="G77" s="3" t="n">
        <v>30</v>
      </c>
      <c r="H77" s="3" t="n">
        <v>0</v>
      </c>
      <c r="I77" t="inlineStr">
        <is>
          <t>Manaz</t>
        </is>
      </c>
      <c r="J77">
        <f>IFERROR(INDEX(IF(F77="Main",Items!$D$2:$D$19,Items!$E$2:$E$19),MATCH(D77,Items!$A$2:$A$19,0)),0)+SUMIFS($G$2:G77,$D$2:D77,D77,$F$2:F77,F77)-SUMIFS($H$2:H77,$D$2:D77,D77,$F$2:F77,F77)</f>
        <v>48</v>
      </c>
      <c r="K77" s="2">
        <f>A77-WEEKDAY(A77,3)</f>
        <v>46314.0</v>
      </c>
      <c r="L77" t="str">
        <f>IF(C77="","MISSING DOC NO",IF(ISNA(MATCH(D77,Items!$A$2:$A$19,0)),"UNKNOWN SKU",IF(COUNTIFS($C$2:$C$400,C77,$D$2:$D$400,D77,$F$2:$F$400,F77,$G$2:$G$400,G77,$H$2:$H$400,H77)&gt;1,"DUPLICATE ENTRY",IF(J77&lt;0,"NEGATIVE BALANCE",IF(AND(B77="TRF",COUNTIFS($C$2:$C$400,C77,$D$2:$D$400,D77)&lt;2),"TRANSFER UNMATCHED",IF(AND(MAX(G77,H77)&gt;=100,IFERROR(IF(G77&gt;0,G77&gt;5*(SUMIFS($G$2:$G$400,$D$2:$D$400,D77)-G77)/(COUNTIFS($D$2:$D$400,D77,$G$2:$G$400,"&gt;0")-1),H77&gt;5*(SUMIFS($H$2:$H$400,$D$2:$D$400,D77)-H77)/(COUNTIFS($D$2:$D$400,D77,$H$2:$H$400,"&gt;0")-1)),FALSE)),"UNUSUAL QTY","OK"))))))</f>
        <v>OK</v>
      </c>
      <c r="M77" t="inlineStr">
        <is>
          <t>From Main</t>
        </is>
      </c>
      <c r="N77">
        <f>IF(AND(L77&lt;&gt;"OK",K77=Weekly_Report!$C$4),COUNTIFS($L$2:L77,"&lt;&gt;OK",$K$2:K77,Weekly_Report!$C$4),"")</f>
      </c>
    </row>
    <row r="78">
      <c r="A78" s="2" t="n">
        <v>46318</v>
      </c>
      <c r="B78" t="inlineStr">
        <is>
          <t>DN</t>
        </is>
      </c>
      <c r="C78" t="inlineStr">
        <is>
          <t>DN-8840</t>
        </is>
      </c>
      <c r="D78" t="inlineStr">
        <is>
          <t>CL-5002</t>
        </is>
      </c>
      <c r="E78" t="str">
        <f>IFERROR(INDEX(Items!$B$2:$B$19,MATCH(D78,Items!$A$2:$A$19,0)),"? not on Items")</f>
        <v>Industrial wipes</v>
      </c>
      <c r="F78" t="inlineStr">
        <is>
          <t>Annex</t>
        </is>
      </c>
      <c r="G78" s="3" t="n">
        <v>0</v>
      </c>
      <c r="H78" s="3" t="n">
        <v>24</v>
      </c>
      <c r="I78" t="inlineStr">
        <is>
          <t>Manaz</t>
        </is>
      </c>
      <c r="J78">
        <f>IFERROR(INDEX(IF(F78="Main",Items!$D$2:$D$19,Items!$E$2:$E$19),MATCH(D78,Items!$A$2:$A$19,0)),0)+SUMIFS($G$2:G78,$D$2:D78,D78,$F$2:F78,F78)-SUMIFS($H$2:H78,$D$2:D78,D78,$F$2:F78,F78)</f>
        <v>24</v>
      </c>
      <c r="K78" s="2">
        <f>A78-WEEKDAY(A78,3)</f>
        <v>46314.0</v>
      </c>
      <c r="L78" t="str">
        <f>IF(C78="","MISSING DOC NO",IF(ISNA(MATCH(D78,Items!$A$2:$A$19,0)),"UNKNOWN SKU",IF(COUNTIFS($C$2:$C$400,C78,$D$2:$D$400,D78,$F$2:$F$400,F78,$G$2:$G$400,G78,$H$2:$H$400,H78)&gt;1,"DUPLICATE ENTRY",IF(J78&lt;0,"NEGATIVE BALANCE",IF(AND(B78="TRF",COUNTIFS($C$2:$C$400,C78,$D$2:$D$400,D78)&lt;2),"TRANSFER UNMATCHED",IF(AND(MAX(G78,H78)&gt;=100,IFERROR(IF(G78&gt;0,G78&gt;5*(SUMIFS($G$2:$G$400,$D$2:$D$400,D78)-G78)/(COUNTIFS($D$2:$D$400,D78,$G$2:$G$400,"&gt;0")-1),H78&gt;5*(SUMIFS($H$2:$H$400,$D$2:$D$400,D78)-H78)/(COUNTIFS($D$2:$D$400,D78,$H$2:$H$400,"&gt;0")-1)),FALSE)),"UNUSUAL QTY","OK"))))))</f>
        <v>OK</v>
      </c>
      <c r="N78">
        <f>IF(AND(L78&lt;&gt;"OK",K78=Weekly_Report!$C$4),COUNTIFS($L$2:L78,"&lt;&gt;OK",$K$2:K78,Weekly_Report!$C$4),"")</f>
      </c>
    </row>
    <row r="79">
      <c r="A79" s="2" t="n">
        <v>46318</v>
      </c>
      <c r="B79" t="inlineStr">
        <is>
          <t>DN</t>
        </is>
      </c>
      <c r="C79" t="inlineStr">
        <is>
          <t>DN-8841</t>
        </is>
      </c>
      <c r="D79" t="inlineStr">
        <is>
          <t>PK-1003</t>
        </is>
      </c>
      <c r="E79" t="str">
        <f>IFERROR(INDEX(Items!$B$2:$B$19,MATCH(D79,Items!$A$2:$A$19,0)),"? not on Items")</f>
        <v>Stretch film 500mm</v>
      </c>
      <c r="F79" t="inlineStr">
        <is>
          <t>Annex</t>
        </is>
      </c>
      <c r="G79" s="3" t="n">
        <v>0</v>
      </c>
      <c r="H79" s="3" t="n">
        <v>7</v>
      </c>
      <c r="I79" t="inlineStr">
        <is>
          <t>Manaz</t>
        </is>
      </c>
      <c r="J79">
        <f>IFERROR(INDEX(IF(F79="Main",Items!$D$2:$D$19,Items!$E$2:$E$19),MATCH(D79,Items!$A$2:$A$19,0)),0)+SUMIFS($G$2:G79,$D$2:D79,D79,$F$2:F79,F79)-SUMIFS($H$2:H79,$D$2:D79,D79,$F$2:F79,F79)</f>
        <v>5</v>
      </c>
      <c r="K79" s="2">
        <f>A79-WEEKDAY(A79,3)</f>
        <v>46314.0</v>
      </c>
      <c r="L79" t="str">
        <f>IF(C79="","MISSING DOC NO",IF(ISNA(MATCH(D79,Items!$A$2:$A$19,0)),"UNKNOWN SKU",IF(COUNTIFS($C$2:$C$400,C79,$D$2:$D$400,D79,$F$2:$F$400,F79,$G$2:$G$400,G79,$H$2:$H$400,H79)&gt;1,"DUPLICATE ENTRY",IF(J79&lt;0,"NEGATIVE BALANCE",IF(AND(B79="TRF",COUNTIFS($C$2:$C$400,C79,$D$2:$D$400,D79)&lt;2),"TRANSFER UNMATCHED",IF(AND(MAX(G79,H79)&gt;=100,IFERROR(IF(G79&gt;0,G79&gt;5*(SUMIFS($G$2:$G$400,$D$2:$D$400,D79)-G79)/(COUNTIFS($D$2:$D$400,D79,$G$2:$G$400,"&gt;0")-1),H79&gt;5*(SUMIFS($H$2:$H$400,$D$2:$D$400,D79)-H79)/(COUNTIFS($D$2:$D$400,D79,$H$2:$H$400,"&gt;0")-1)),FALSE)),"UNUSUAL QTY","OK"))))))</f>
        <v>OK</v>
      </c>
      <c r="N79">
        <f>IF(AND(L79&lt;&gt;"OK",K79=Weekly_Report!$C$4),COUNTIFS($L$2:L79,"&lt;&gt;OK",$K$2:K79,Weekly_Report!$C$4),"")</f>
      </c>
    </row>
    <row r="80">
      <c r="A80" s="2" t="n">
        <v>46318</v>
      </c>
      <c r="B80" t="inlineStr">
        <is>
          <t>DN</t>
        </is>
      </c>
      <c r="C80" t="inlineStr">
        <is>
          <t>DN-8842</t>
        </is>
      </c>
      <c r="D80" t="inlineStr">
        <is>
          <t>HW-6002</t>
        </is>
      </c>
      <c r="E80" t="str">
        <f>IFERROR(INDEX(Items!$B$2:$B$19,MATCH(D80,Items!$A$2:$A$19,0)),"? not on Items")</f>
        <v>Strapping band 12mm</v>
      </c>
      <c r="F80" t="inlineStr">
        <is>
          <t>Annex</t>
        </is>
      </c>
      <c r="G80" s="3" t="n">
        <v>0</v>
      </c>
      <c r="H80" s="3" t="n">
        <v>25</v>
      </c>
      <c r="I80" t="inlineStr">
        <is>
          <t>Manaz</t>
        </is>
      </c>
      <c r="J80">
        <f>IFERROR(INDEX(IF(F80="Main",Items!$D$2:$D$19,Items!$E$2:$E$19),MATCH(D80,Items!$A$2:$A$19,0)),0)+SUMIFS($G$2:G80,$D$2:D80,D80,$F$2:F80,F80)-SUMIFS($H$2:H80,$D$2:D80,D80,$F$2:F80,F80)</f>
        <v>26</v>
      </c>
      <c r="K80" s="2">
        <f>A80-WEEKDAY(A80,3)</f>
        <v>46314.0</v>
      </c>
      <c r="L80" t="str">
        <f>IF(C80="","MISSING DOC NO",IF(ISNA(MATCH(D80,Items!$A$2:$A$19,0)),"UNKNOWN SKU",IF(COUNTIFS($C$2:$C$400,C80,$D$2:$D$400,D80,$F$2:$F$400,F80,$G$2:$G$400,G80,$H$2:$H$400,H80)&gt;1,"DUPLICATE ENTRY",IF(J80&lt;0,"NEGATIVE BALANCE",IF(AND(B80="TRF",COUNTIFS($C$2:$C$400,C80,$D$2:$D$400,D80)&lt;2),"TRANSFER UNMATCHED",IF(AND(MAX(G80,H80)&gt;=100,IFERROR(IF(G80&gt;0,G80&gt;5*(SUMIFS($G$2:$G$400,$D$2:$D$400,D80)-G80)/(COUNTIFS($D$2:$D$400,D80,$G$2:$G$400,"&gt;0")-1),H80&gt;5*(SUMIFS($H$2:$H$400,$D$2:$D$400,D80)-H80)/(COUNTIFS($D$2:$D$400,D80,$H$2:$H$400,"&gt;0")-1)),FALSE)),"UNUSUAL QTY","OK"))))))</f>
        <v>OK</v>
      </c>
      <c r="N80">
        <f>IF(AND(L80&lt;&gt;"OK",K80=Weekly_Report!$C$4),COUNTIFS($L$2:L80,"&lt;&gt;OK",$K$2:K80,Weekly_Report!$C$4),"")</f>
      </c>
    </row>
    <row r="81">
      <c r="A81" s="2" t="n">
        <v>46319</v>
      </c>
      <c r="B81" t="inlineStr">
        <is>
          <t>GRN</t>
        </is>
      </c>
      <c r="C81" t="inlineStr">
        <is>
          <t>GRN-5118</t>
        </is>
      </c>
      <c r="D81" t="inlineStr">
        <is>
          <t>PK-1004</t>
        </is>
      </c>
      <c r="E81" t="str">
        <f>IFERROR(INDEX(Items!$B$2:$B$19,MATCH(D81,Items!$A$2:$A$19,0)),"? not on Items")</f>
        <v>Packing tape 48mm</v>
      </c>
      <c r="F81" t="inlineStr">
        <is>
          <t>Main</t>
        </is>
      </c>
      <c r="G81" s="3" t="n">
        <v>24</v>
      </c>
      <c r="H81" s="3" t="n">
        <v>0</v>
      </c>
      <c r="I81" t="inlineStr">
        <is>
          <t>Ravi</t>
        </is>
      </c>
      <c r="J81">
        <f>IFERROR(INDEX(IF(F81="Main",Items!$D$2:$D$19,Items!$E$2:$E$19),MATCH(D81,Items!$A$2:$A$19,0)),0)+SUMIFS($G$2:G81,$D$2:D81,D81,$F$2:F81,F81)-SUMIFS($H$2:H81,$D$2:D81,D81,$F$2:F81,F81)</f>
        <v>1306</v>
      </c>
      <c r="K81" s="2">
        <f>A81-WEEKDAY(A81,3)</f>
        <v>46314.0</v>
      </c>
      <c r="L81" t="str">
        <f>IF(C81="","MISSING DOC NO",IF(ISNA(MATCH(D81,Items!$A$2:$A$19,0)),"UNKNOWN SKU",IF(COUNTIFS($C$2:$C$400,C81,$D$2:$D$400,D81,$F$2:$F$400,F81,$G$2:$G$400,G81,$H$2:$H$400,H81)&gt;1,"DUPLICATE ENTRY",IF(J81&lt;0,"NEGATIVE BALANCE",IF(AND(B81="TRF",COUNTIFS($C$2:$C$400,C81,$D$2:$D$400,D81)&lt;2),"TRANSFER UNMATCHED",IF(AND(MAX(G81,H81)&gt;=100,IFERROR(IF(G81&gt;0,G81&gt;5*(SUMIFS($G$2:$G$400,$D$2:$D$400,D81)-G81)/(COUNTIFS($D$2:$D$400,D81,$G$2:$G$400,"&gt;0")-1),H81&gt;5*(SUMIFS($H$2:$H$400,$D$2:$D$400,D81)-H81)/(COUNTIFS($D$2:$D$400,D81,$H$2:$H$400,"&gt;0")-1)),FALSE)),"UNUSUAL QTY","OK"))))))</f>
        <v>OK</v>
      </c>
      <c r="N81">
        <f>IF(AND(L81&lt;&gt;"OK",K81=Weekly_Report!$C$4),COUNTIFS($L$2:L81,"&lt;&gt;OK",$K$2:K81,Weekly_Report!$C$4),"")</f>
      </c>
    </row>
    <row r="82">
      <c r="A82" s="2" t="n">
        <v>46319</v>
      </c>
      <c r="B82" t="inlineStr">
        <is>
          <t>GRN</t>
        </is>
      </c>
      <c r="C82" t="inlineStr">
        <is>
          <t>GRN-5119</t>
        </is>
      </c>
      <c r="D82" t="inlineStr">
        <is>
          <t>PL-2001</t>
        </is>
      </c>
      <c r="E82" t="str">
        <f>IFERROR(INDEX(Items!$B$2:$B$19,MATCH(D82,Items!$A$2:$A$19,0)),"? not on Items")</f>
        <v>Plastic pallet 1200x1000</v>
      </c>
      <c r="F82" t="inlineStr">
        <is>
          <t>Main</t>
        </is>
      </c>
      <c r="G82" s="3" t="n">
        <v>60</v>
      </c>
      <c r="H82" s="3" t="n">
        <v>0</v>
      </c>
      <c r="I82" t="inlineStr">
        <is>
          <t>Manaz</t>
        </is>
      </c>
      <c r="J82">
        <f>IFERROR(INDEX(IF(F82="Main",Items!$D$2:$D$19,Items!$E$2:$E$19),MATCH(D82,Items!$A$2:$A$19,0)),0)+SUMIFS($G$2:G82,$D$2:D82,D82,$F$2:F82,F82)-SUMIFS($H$2:H82,$D$2:D82,D82,$F$2:F82,F82)</f>
        <v>149</v>
      </c>
      <c r="K82" s="2">
        <f>A82-WEEKDAY(A82,3)</f>
        <v>46314.0</v>
      </c>
      <c r="L82" t="str">
        <f>IF(C82="","MISSING DOC NO",IF(ISNA(MATCH(D82,Items!$A$2:$A$19,0)),"UNKNOWN SKU",IF(COUNTIFS($C$2:$C$400,C82,$D$2:$D$400,D82,$F$2:$F$400,F82,$G$2:$G$400,G82,$H$2:$H$400,H82)&gt;1,"DUPLICATE ENTRY",IF(J82&lt;0,"NEGATIVE BALANCE",IF(AND(B82="TRF",COUNTIFS($C$2:$C$400,C82,$D$2:$D$400,D82)&lt;2),"TRANSFER UNMATCHED",IF(AND(MAX(G82,H82)&gt;=100,IFERROR(IF(G82&gt;0,G82&gt;5*(SUMIFS($G$2:$G$400,$D$2:$D$400,D82)-G82)/(COUNTIFS($D$2:$D$400,D82,$G$2:$G$400,"&gt;0")-1),H82&gt;5*(SUMIFS($H$2:$H$400,$D$2:$D$400,D82)-H82)/(COUNTIFS($D$2:$D$400,D82,$H$2:$H$400,"&gt;0")-1)),FALSE)),"UNUSUAL QTY","OK"))))))</f>
        <v>OK</v>
      </c>
      <c r="N82">
        <f>IF(AND(L82&lt;&gt;"OK",K82=Weekly_Report!$C$4),COUNTIFS($L$2:L82,"&lt;&gt;OK",$K$2:K82,Weekly_Report!$C$4),"")</f>
      </c>
    </row>
    <row r="83">
      <c r="A83" s="2" t="n">
        <v>46319</v>
      </c>
      <c r="B83" t="inlineStr">
        <is>
          <t>GRN</t>
        </is>
      </c>
      <c r="C83" t="inlineStr">
        <is>
          <t>GRN-5120</t>
        </is>
      </c>
      <c r="D83" t="inlineStr">
        <is>
          <t>PK-1003</t>
        </is>
      </c>
      <c r="E83" t="str">
        <f>IFERROR(INDEX(Items!$B$2:$B$19,MATCH(D83,Items!$A$2:$A$19,0)),"? not on Items")</f>
        <v>Stretch film 500mm</v>
      </c>
      <c r="F83" t="inlineStr">
        <is>
          <t>Main</t>
        </is>
      </c>
      <c r="G83" s="3" t="n">
        <v>36</v>
      </c>
      <c r="H83" s="3" t="n">
        <v>0</v>
      </c>
      <c r="I83" t="inlineStr">
        <is>
          <t>Priya</t>
        </is>
      </c>
      <c r="J83">
        <f>IFERROR(INDEX(IF(F83="Main",Items!$D$2:$D$19,Items!$E$2:$E$19),MATCH(D83,Items!$A$2:$A$19,0)),0)+SUMIFS($G$2:G83,$D$2:D83,D83,$F$2:F83,F83)-SUMIFS($H$2:H83,$D$2:D83,D83,$F$2:F83,F83)</f>
        <v>202</v>
      </c>
      <c r="K83" s="2">
        <f>A83-WEEKDAY(A83,3)</f>
        <v>46314.0</v>
      </c>
      <c r="L83" t="str">
        <f>IF(C83="","MISSING DOC NO",IF(ISNA(MATCH(D83,Items!$A$2:$A$19,0)),"UNKNOWN SKU",IF(COUNTIFS($C$2:$C$400,C83,$D$2:$D$400,D83,$F$2:$F$400,F83,$G$2:$G$400,G83,$H$2:$H$400,H83)&gt;1,"DUPLICATE ENTRY",IF(J83&lt;0,"NEGATIVE BALANCE",IF(AND(B83="TRF",COUNTIFS($C$2:$C$400,C83,$D$2:$D$400,D83)&lt;2),"TRANSFER UNMATCHED",IF(AND(MAX(G83,H83)&gt;=100,IFERROR(IF(G83&gt;0,G83&gt;5*(SUMIFS($G$2:$G$400,$D$2:$D$400,D83)-G83)/(COUNTIFS($D$2:$D$400,D83,$G$2:$G$400,"&gt;0")-1),H83&gt;5*(SUMIFS($H$2:$H$400,$D$2:$D$400,D83)-H83)/(COUNTIFS($D$2:$D$400,D83,$H$2:$H$400,"&gt;0")-1)),FALSE)),"UNUSUAL QTY","OK"))))))</f>
        <v>OK</v>
      </c>
      <c r="N83">
        <f>IF(AND(L83&lt;&gt;"OK",K83=Weekly_Report!$C$4),COUNTIFS($L$2:L83,"&lt;&gt;OK",$K$2:K83,Weekly_Report!$C$4),"")</f>
      </c>
    </row>
    <row r="84">
      <c r="A84" s="2" t="n">
        <v>46319</v>
      </c>
      <c r="B84" t="inlineStr">
        <is>
          <t>TRF</t>
        </is>
      </c>
      <c r="C84" t="inlineStr">
        <is>
          <t>TRF-309</t>
        </is>
      </c>
      <c r="D84" t="inlineStr">
        <is>
          <t>ST-7001</t>
        </is>
      </c>
      <c r="E84" t="str">
        <f>IFERROR(INDEX(Items!$B$2:$B$19,MATCH(D84,Items!$A$2:$A$19,0)),"? not on Items")</f>
        <v>Shelf bin small</v>
      </c>
      <c r="F84" t="inlineStr">
        <is>
          <t>Main</t>
        </is>
      </c>
      <c r="G84" s="3" t="n">
        <v>0</v>
      </c>
      <c r="H84" s="3" t="n">
        <v>10</v>
      </c>
      <c r="I84" t="inlineStr">
        <is>
          <t>Manaz</t>
        </is>
      </c>
      <c r="J84">
        <f>IFERROR(INDEX(IF(F84="Main",Items!$D$2:$D$19,Items!$E$2:$E$19),MATCH(D84,Items!$A$2:$A$19,0)),0)+SUMIFS($G$2:G84,$D$2:D84,D84,$F$2:F84,F84)-SUMIFS($H$2:H84,$D$2:D84,D84,$F$2:F84,F84)</f>
        <v>277</v>
      </c>
      <c r="K84" s="2">
        <f>A84-WEEKDAY(A84,3)</f>
        <v>46314.0</v>
      </c>
      <c r="L84" t="str">
        <f>IF(C84="","MISSING DOC NO",IF(ISNA(MATCH(D84,Items!$A$2:$A$19,0)),"UNKNOWN SKU",IF(COUNTIFS($C$2:$C$400,C84,$D$2:$D$400,D84,$F$2:$F$400,F84,$G$2:$G$400,G84,$H$2:$H$400,H84)&gt;1,"DUPLICATE ENTRY",IF(J84&lt;0,"NEGATIVE BALANCE",IF(AND(B84="TRF",COUNTIFS($C$2:$C$400,C84,$D$2:$D$400,D84)&lt;2),"TRANSFER UNMATCHED",IF(AND(MAX(G84,H84)&gt;=100,IFERROR(IF(G84&gt;0,G84&gt;5*(SUMIFS($G$2:$G$400,$D$2:$D$400,D84)-G84)/(COUNTIFS($D$2:$D$400,D84,$G$2:$G$400,"&gt;0")-1),H84&gt;5*(SUMIFS($H$2:$H$400,$D$2:$D$400,D84)-H84)/(COUNTIFS($D$2:$D$400,D84,$H$2:$H$400,"&gt;0")-1)),FALSE)),"UNUSUAL QTY","OK"))))))</f>
        <v>OK</v>
      </c>
      <c r="M84" t="inlineStr">
        <is>
          <t>To Annex</t>
        </is>
      </c>
      <c r="N84">
        <f>IF(AND(L84&lt;&gt;"OK",K84=Weekly_Report!$C$4),COUNTIFS($L$2:L84,"&lt;&gt;OK",$K$2:K84,Weekly_Report!$C$4),"")</f>
      </c>
    </row>
    <row r="85">
      <c r="A85" s="2" t="n">
        <v>46319</v>
      </c>
      <c r="B85" t="inlineStr">
        <is>
          <t>TRF</t>
        </is>
      </c>
      <c r="C85" t="inlineStr">
        <is>
          <t>TRF-309</t>
        </is>
      </c>
      <c r="D85" t="inlineStr">
        <is>
          <t>ST-7001</t>
        </is>
      </c>
      <c r="E85" t="str">
        <f>IFERROR(INDEX(Items!$B$2:$B$19,MATCH(D85,Items!$A$2:$A$19,0)),"? not on Items")</f>
        <v>Shelf bin small</v>
      </c>
      <c r="F85" t="inlineStr">
        <is>
          <t>Annex</t>
        </is>
      </c>
      <c r="G85" s="3" t="n">
        <v>10</v>
      </c>
      <c r="H85" s="3" t="n">
        <v>0</v>
      </c>
      <c r="I85" t="inlineStr">
        <is>
          <t>Manaz</t>
        </is>
      </c>
      <c r="J85">
        <f>IFERROR(INDEX(IF(F85="Main",Items!$D$2:$D$19,Items!$E$2:$E$19),MATCH(D85,Items!$A$2:$A$19,0)),0)+SUMIFS($G$2:G85,$D$2:D85,D85,$F$2:F85,F85)-SUMIFS($H$2:H85,$D$2:D85,D85,$F$2:F85,F85)</f>
        <v>44</v>
      </c>
      <c r="K85" s="2">
        <f>A85-WEEKDAY(A85,3)</f>
        <v>46314.0</v>
      </c>
      <c r="L85" t="str">
        <f>IF(C85="","MISSING DOC NO",IF(ISNA(MATCH(D85,Items!$A$2:$A$19,0)),"UNKNOWN SKU",IF(COUNTIFS($C$2:$C$400,C85,$D$2:$D$400,D85,$F$2:$F$400,F85,$G$2:$G$400,G85,$H$2:$H$400,H85)&gt;1,"DUPLICATE ENTRY",IF(J85&lt;0,"NEGATIVE BALANCE",IF(AND(B85="TRF",COUNTIFS($C$2:$C$400,C85,$D$2:$D$400,D85)&lt;2),"TRANSFER UNMATCHED",IF(AND(MAX(G85,H85)&gt;=100,IFERROR(IF(G85&gt;0,G85&gt;5*(SUMIFS($G$2:$G$400,$D$2:$D$400,D85)-G85)/(COUNTIFS($D$2:$D$400,D85,$G$2:$G$400,"&gt;0")-1),H85&gt;5*(SUMIFS($H$2:$H$400,$D$2:$D$400,D85)-H85)/(COUNTIFS($D$2:$D$400,D85,$H$2:$H$400,"&gt;0")-1)),FALSE)),"UNUSUAL QTY","OK"))))))</f>
        <v>OK</v>
      </c>
      <c r="M85" t="inlineStr">
        <is>
          <t>From Main</t>
        </is>
      </c>
      <c r="N85">
        <f>IF(AND(L85&lt;&gt;"OK",K85=Weekly_Report!$C$4),COUNTIFS($L$2:L85,"&lt;&gt;OK",$K$2:K85,Weekly_Report!$C$4),"")</f>
      </c>
    </row>
    <row r="86">
      <c r="A86" s="2" t="n">
        <v>46319</v>
      </c>
      <c r="B86" t="inlineStr">
        <is>
          <t>DN</t>
        </is>
      </c>
      <c r="C86" t="inlineStr">
        <is>
          <t>DN-8843</t>
        </is>
      </c>
      <c r="D86" t="inlineStr">
        <is>
          <t>SF-3002</t>
        </is>
      </c>
      <c r="E86" t="str">
        <f>IFERROR(INDEX(Items!$B$2:$B$19,MATCH(D86,Items!$A$2:$A$19,0)),"? not on Items")</f>
        <v>Hi-vis vest</v>
      </c>
      <c r="F86" t="inlineStr">
        <is>
          <t>Annex</t>
        </is>
      </c>
      <c r="G86" s="3" t="n">
        <v>0</v>
      </c>
      <c r="H86" s="3" t="n">
        <v>10</v>
      </c>
      <c r="I86" t="inlineStr">
        <is>
          <t>Priya</t>
        </is>
      </c>
      <c r="J86">
        <f>IFERROR(INDEX(IF(F86="Main",Items!$D$2:$D$19,Items!$E$2:$E$19),MATCH(D86,Items!$A$2:$A$19,0)),0)+SUMIFS($G$2:G86,$D$2:D86,D86,$F$2:F86,F86)-SUMIFS($H$2:H86,$D$2:D86,D86,$F$2:F86,F86)</f>
        <v>5</v>
      </c>
      <c r="K86" s="2">
        <f>A86-WEEKDAY(A86,3)</f>
        <v>46314.0</v>
      </c>
      <c r="L86" t="str">
        <f>IF(C86="","MISSING DOC NO",IF(ISNA(MATCH(D86,Items!$A$2:$A$19,0)),"UNKNOWN SKU",IF(COUNTIFS($C$2:$C$400,C86,$D$2:$D$400,D86,$F$2:$F$400,F86,$G$2:$G$400,G86,$H$2:$H$400,H86)&gt;1,"DUPLICATE ENTRY",IF(J86&lt;0,"NEGATIVE BALANCE",IF(AND(B86="TRF",COUNTIFS($C$2:$C$400,C86,$D$2:$D$400,D86)&lt;2),"TRANSFER UNMATCHED",IF(AND(MAX(G86,H86)&gt;=100,IFERROR(IF(G86&gt;0,G86&gt;5*(SUMIFS($G$2:$G$400,$D$2:$D$400,D86)-G86)/(COUNTIFS($D$2:$D$400,D86,$G$2:$G$400,"&gt;0")-1),H86&gt;5*(SUMIFS($H$2:$H$400,$D$2:$D$400,D86)-H86)/(COUNTIFS($D$2:$D$400,D86,$H$2:$H$400,"&gt;0")-1)),FALSE)),"UNUSUAL QTY","OK"))))))</f>
        <v>OK</v>
      </c>
      <c r="N86">
        <f>IF(AND(L86&lt;&gt;"OK",K86=Weekly_Report!$C$4),COUNTIFS($L$2:L86,"&lt;&gt;OK",$K$2:K86,Weekly_Report!$C$4),"")</f>
      </c>
    </row>
    <row r="87">
      <c r="A87" s="2" t="n">
        <v>46319</v>
      </c>
      <c r="B87" t="inlineStr">
        <is>
          <t>TRF</t>
        </is>
      </c>
      <c r="C87" t="inlineStr">
        <is>
          <t>TRF-310</t>
        </is>
      </c>
      <c r="D87" t="inlineStr">
        <is>
          <t>HW-6001</t>
        </is>
      </c>
      <c r="E87" t="str">
        <f>IFERROR(INDEX(Items!$B$2:$B$19,MATCH(D87,Items!$A$2:$A$19,0)),"? not on Items")</f>
        <v>Cable ties 300mm (100)</v>
      </c>
      <c r="F87" t="inlineStr">
        <is>
          <t>Main</t>
        </is>
      </c>
      <c r="G87" s="3" t="n">
        <v>0</v>
      </c>
      <c r="H87" s="3" t="n">
        <v>10</v>
      </c>
      <c r="I87" t="inlineStr">
        <is>
          <t>Ravi</t>
        </is>
      </c>
      <c r="J87">
        <f>IFERROR(INDEX(IF(F87="Main",Items!$D$2:$D$19,Items!$E$2:$E$19),MATCH(D87,Items!$A$2:$A$19,0)),0)+SUMIFS($G$2:G87,$D$2:D87,D87,$F$2:F87,F87)-SUMIFS($H$2:H87,$D$2:D87,D87,$F$2:F87,F87)</f>
        <v>164</v>
      </c>
      <c r="K87" s="2">
        <f>A87-WEEKDAY(A87,3)</f>
        <v>46314.0</v>
      </c>
      <c r="L87" t="str">
        <f>IF(C87="","MISSING DOC NO",IF(ISNA(MATCH(D87,Items!$A$2:$A$19,0)),"UNKNOWN SKU",IF(COUNTIFS($C$2:$C$400,C87,$D$2:$D$400,D87,$F$2:$F$400,F87,$G$2:$G$400,G87,$H$2:$H$400,H87)&gt;1,"DUPLICATE ENTRY",IF(J87&lt;0,"NEGATIVE BALANCE",IF(AND(B87="TRF",COUNTIFS($C$2:$C$400,C87,$D$2:$D$400,D87)&lt;2),"TRANSFER UNMATCHED",IF(AND(MAX(G87,H87)&gt;=100,IFERROR(IF(G87&gt;0,G87&gt;5*(SUMIFS($G$2:$G$400,$D$2:$D$400,D87)-G87)/(COUNTIFS($D$2:$D$400,D87,$G$2:$G$400,"&gt;0")-1),H87&gt;5*(SUMIFS($H$2:$H$400,$D$2:$D$400,D87)-H87)/(COUNTIFS($D$2:$D$400,D87,$H$2:$H$400,"&gt;0")-1)),FALSE)),"UNUSUAL QTY","OK"))))))</f>
        <v>OK</v>
      </c>
      <c r="M87" t="inlineStr">
        <is>
          <t>To Annex</t>
        </is>
      </c>
      <c r="N87">
        <f>IF(AND(L87&lt;&gt;"OK",K87=Weekly_Report!$C$4),COUNTIFS($L$2:L87,"&lt;&gt;OK",$K$2:K87,Weekly_Report!$C$4),"")</f>
      </c>
    </row>
    <row r="88">
      <c r="A88" s="2" t="n">
        <v>46319</v>
      </c>
      <c r="B88" t="inlineStr">
        <is>
          <t>TRF</t>
        </is>
      </c>
      <c r="C88" t="inlineStr">
        <is>
          <t>TRF-310</t>
        </is>
      </c>
      <c r="D88" t="inlineStr">
        <is>
          <t>HW-6001</t>
        </is>
      </c>
      <c r="E88" t="str">
        <f>IFERROR(INDEX(Items!$B$2:$B$19,MATCH(D88,Items!$A$2:$A$19,0)),"? not on Items")</f>
        <v>Cable ties 300mm (100)</v>
      </c>
      <c r="F88" t="inlineStr">
        <is>
          <t>Annex</t>
        </is>
      </c>
      <c r="G88" s="3" t="n">
        <v>10</v>
      </c>
      <c r="H88" s="3" t="n">
        <v>0</v>
      </c>
      <c r="I88" t="inlineStr">
        <is>
          <t>Ravi</t>
        </is>
      </c>
      <c r="J88">
        <f>IFERROR(INDEX(IF(F88="Main",Items!$D$2:$D$19,Items!$E$2:$E$19),MATCH(D88,Items!$A$2:$A$19,0)),0)+SUMIFS($G$2:G88,$D$2:D88,D88,$F$2:F88,F88)-SUMIFS($H$2:H88,$D$2:D88,D88,$F$2:F88,F88)</f>
        <v>90</v>
      </c>
      <c r="K88" s="2">
        <f>A88-WEEKDAY(A88,3)</f>
        <v>46314.0</v>
      </c>
      <c r="L88" t="str">
        <f>IF(C88="","MISSING DOC NO",IF(ISNA(MATCH(D88,Items!$A$2:$A$19,0)),"UNKNOWN SKU",IF(COUNTIFS($C$2:$C$400,C88,$D$2:$D$400,D88,$F$2:$F$400,F88,$G$2:$G$400,G88,$H$2:$H$400,H88)&gt;1,"DUPLICATE ENTRY",IF(J88&lt;0,"NEGATIVE BALANCE",IF(AND(B88="TRF",COUNTIFS($C$2:$C$400,C88,$D$2:$D$400,D88)&lt;2),"TRANSFER UNMATCHED",IF(AND(MAX(G88,H88)&gt;=100,IFERROR(IF(G88&gt;0,G88&gt;5*(SUMIFS($G$2:$G$400,$D$2:$D$400,D88)-G88)/(COUNTIFS($D$2:$D$400,D88,$G$2:$G$400,"&gt;0")-1),H88&gt;5*(SUMIFS($H$2:$H$400,$D$2:$D$400,D88)-H88)/(COUNTIFS($D$2:$D$400,D88,$H$2:$H$400,"&gt;0")-1)),FALSE)),"UNUSUAL QTY","OK"))))))</f>
        <v>OK</v>
      </c>
      <c r="M88" t="inlineStr">
        <is>
          <t>From Main</t>
        </is>
      </c>
      <c r="N88">
        <f>IF(AND(L88&lt;&gt;"OK",K88=Weekly_Report!$C$4),COUNTIFS($L$2:L88,"&lt;&gt;OK",$K$2:K88,Weekly_Report!$C$4),"")</f>
      </c>
    </row>
    <row r="89">
      <c r="A89" s="2" t="n">
        <v>46319</v>
      </c>
      <c r="B89" t="inlineStr">
        <is>
          <t>DN</t>
        </is>
      </c>
      <c r="C89" t="inlineStr">
        <is>
          <t>DN-8844</t>
        </is>
      </c>
      <c r="D89" t="inlineStr">
        <is>
          <t>PK-1003</t>
        </is>
      </c>
      <c r="E89" t="str">
        <f>IFERROR(INDEX(Items!$B$2:$B$19,MATCH(D89,Items!$A$2:$A$19,0)),"? not on Items")</f>
        <v>Stretch film 500mm</v>
      </c>
      <c r="F89" t="inlineStr">
        <is>
          <t>Main</t>
        </is>
      </c>
      <c r="G89" s="3" t="n">
        <v>0</v>
      </c>
      <c r="H89" s="3" t="n">
        <v>8</v>
      </c>
      <c r="I89" t="inlineStr">
        <is>
          <t>Manaz</t>
        </is>
      </c>
      <c r="J89">
        <f>IFERROR(INDEX(IF(F89="Main",Items!$D$2:$D$19,Items!$E$2:$E$19),MATCH(D89,Items!$A$2:$A$19,0)),0)+SUMIFS($G$2:G89,$D$2:D89,D89,$F$2:F89,F89)-SUMIFS($H$2:H89,$D$2:D89,D89,$F$2:F89,F89)</f>
        <v>194</v>
      </c>
      <c r="K89" s="2">
        <f>A89-WEEKDAY(A89,3)</f>
        <v>46314.0</v>
      </c>
      <c r="L89" t="str">
        <f>IF(C89="","MISSING DOC NO",IF(ISNA(MATCH(D89,Items!$A$2:$A$19,0)),"UNKNOWN SKU",IF(COUNTIFS($C$2:$C$400,C89,$D$2:$D$400,D89,$F$2:$F$400,F89,$G$2:$G$400,G89,$H$2:$H$400,H89)&gt;1,"DUPLICATE ENTRY",IF(J89&lt;0,"NEGATIVE BALANCE",IF(AND(B89="TRF",COUNTIFS($C$2:$C$400,C89,$D$2:$D$400,D89)&lt;2),"TRANSFER UNMATCHED",IF(AND(MAX(G89,H89)&gt;=100,IFERROR(IF(G89&gt;0,G89&gt;5*(SUMIFS($G$2:$G$400,$D$2:$D$400,D89)-G89)/(COUNTIFS($D$2:$D$400,D89,$G$2:$G$400,"&gt;0")-1),H89&gt;5*(SUMIFS($H$2:$H$400,$D$2:$D$400,D89)-H89)/(COUNTIFS($D$2:$D$400,D89,$H$2:$H$400,"&gt;0")-1)),FALSE)),"UNUSUAL QTY","OK"))))))</f>
        <v>OK</v>
      </c>
      <c r="N89">
        <f>IF(AND(L89&lt;&gt;"OK",K89=Weekly_Report!$C$4),COUNTIFS($L$2:L89,"&lt;&gt;OK",$K$2:K89,Weekly_Report!$C$4),"")</f>
      </c>
    </row>
    <row r="90">
      <c r="A90" s="2" t="n">
        <v>46319</v>
      </c>
      <c r="B90" t="inlineStr">
        <is>
          <t>TRF</t>
        </is>
      </c>
      <c r="C90" t="inlineStr">
        <is>
          <t>TRF-311</t>
        </is>
      </c>
      <c r="D90" t="inlineStr">
        <is>
          <t>PL-2001</t>
        </is>
      </c>
      <c r="E90" t="str">
        <f>IFERROR(INDEX(Items!$B$2:$B$19,MATCH(D90,Items!$A$2:$A$19,0)),"? not on Items")</f>
        <v>Plastic pallet 1200x1000</v>
      </c>
      <c r="F90" t="inlineStr">
        <is>
          <t>Main</t>
        </is>
      </c>
      <c r="G90" s="3" t="n">
        <v>0</v>
      </c>
      <c r="H90" s="3" t="n">
        <v>20</v>
      </c>
      <c r="I90" t="inlineStr">
        <is>
          <t>Ravi</t>
        </is>
      </c>
      <c r="J90">
        <f>IFERROR(INDEX(IF(F90="Main",Items!$D$2:$D$19,Items!$E$2:$E$19),MATCH(D90,Items!$A$2:$A$19,0)),0)+SUMIFS($G$2:G90,$D$2:D90,D90,$F$2:F90,F90)-SUMIFS($H$2:H90,$D$2:D90,D90,$F$2:F90,F90)</f>
        <v>129</v>
      </c>
      <c r="K90" s="2">
        <f>A90-WEEKDAY(A90,3)</f>
        <v>46314.0</v>
      </c>
      <c r="L90" t="str">
        <f>IF(C90="","MISSING DOC NO",IF(ISNA(MATCH(D90,Items!$A$2:$A$19,0)),"UNKNOWN SKU",IF(COUNTIFS($C$2:$C$400,C90,$D$2:$D$400,D90,$F$2:$F$400,F90,$G$2:$G$400,G90,$H$2:$H$400,H90)&gt;1,"DUPLICATE ENTRY",IF(J90&lt;0,"NEGATIVE BALANCE",IF(AND(B90="TRF",COUNTIFS($C$2:$C$400,C90,$D$2:$D$400,D90)&lt;2),"TRANSFER UNMATCHED",IF(AND(MAX(G90,H90)&gt;=100,IFERROR(IF(G90&gt;0,G90&gt;5*(SUMIFS($G$2:$G$400,$D$2:$D$400,D90)-G90)/(COUNTIFS($D$2:$D$400,D90,$G$2:$G$400,"&gt;0")-1),H90&gt;5*(SUMIFS($H$2:$H$400,$D$2:$D$400,D90)-H90)/(COUNTIFS($D$2:$D$400,D90,$H$2:$H$400,"&gt;0")-1)),FALSE)),"UNUSUAL QTY","OK"))))))</f>
        <v>TRANSFER UNMATCHED</v>
      </c>
      <c r="M90" t="inlineStr">
        <is>
          <t>To Annex</t>
        </is>
      </c>
      <c r="N90">
        <f>IF(AND(L90&lt;&gt;"OK",K90=Weekly_Report!$C$4),COUNTIFS($L$2:L90,"&lt;&gt;OK",$K$2:K90,Weekly_Report!$C$4),"")</f>
        <v>6</v>
      </c>
    </row>
    <row r="91">
      <c r="A91" s="2" t="n">
        <v>46319</v>
      </c>
      <c r="B91" t="inlineStr">
        <is>
          <t>DN</t>
        </is>
      </c>
      <c r="C91" t="inlineStr">
        <is>
          <t>DN-9001</t>
        </is>
      </c>
      <c r="D91" t="inlineStr">
        <is>
          <t>XX-9999</t>
        </is>
      </c>
      <c r="E91" t="str">
        <f>IFERROR(INDEX(Items!$B$2:$B$19,MATCH(D91,Items!$A$2:$A$19,0)),"? not on Items")</f>
        <v>? not on Items</v>
      </c>
      <c r="F91" t="inlineStr">
        <is>
          <t>Main</t>
        </is>
      </c>
      <c r="G91" s="3" t="n">
        <v>0</v>
      </c>
      <c r="H91" s="3" t="n">
        <v>5</v>
      </c>
      <c r="I91" t="inlineStr">
        <is>
          <t>Ravi</t>
        </is>
      </c>
      <c r="J91">
        <f>IFERROR(INDEX(IF(F91="Main",Items!$D$2:$D$19,Items!$E$2:$E$19),MATCH(D91,Items!$A$2:$A$19,0)),0)+SUMIFS($G$2:G91,$D$2:D91,D91,$F$2:F91,F91)-SUMIFS($H$2:H91,$D$2:D91,D91,$F$2:F91,F91)</f>
        <v>-5</v>
      </c>
      <c r="K91" s="2">
        <f>A91-WEEKDAY(A91,3)</f>
        <v>46314.0</v>
      </c>
      <c r="L91" t="str">
        <f>IF(C91="","MISSING DOC NO",IF(ISNA(MATCH(D91,Items!$A$2:$A$19,0)),"UNKNOWN SKU",IF(COUNTIFS($C$2:$C$400,C91,$D$2:$D$400,D91,$F$2:$F$400,F91,$G$2:$G$400,G91,$H$2:$H$400,H91)&gt;1,"DUPLICATE ENTRY",IF(J91&lt;0,"NEGATIVE BALANCE",IF(AND(B91="TRF",COUNTIFS($C$2:$C$400,C91,$D$2:$D$400,D91)&lt;2),"TRANSFER UNMATCHED",IF(AND(MAX(G91,H91)&gt;=100,IFERROR(IF(G91&gt;0,G91&gt;5*(SUMIFS($G$2:$G$400,$D$2:$D$400,D91)-G91)/(COUNTIFS($D$2:$D$400,D91,$G$2:$G$400,"&gt;0")-1),H91&gt;5*(SUMIFS($H$2:$H$400,$D$2:$D$400,D91)-H91)/(COUNTIFS($D$2:$D$400,D91,$H$2:$H$400,"&gt;0")-1)),FALSE)),"UNUSUAL QTY","OK"))))))</f>
        <v>UNKNOWN SKU</v>
      </c>
      <c r="M91" t="inlineStr">
        <is>
          <t>SKU not on item list</t>
        </is>
      </c>
      <c r="N91">
        <f>IF(AND(L91&lt;&gt;"OK",K91=Weekly_Report!$C$4),COUNTIFS($L$2:L91,"&lt;&gt;OK",$K$2:K91,Weekly_Report!$C$4),"")</f>
        <v>7</v>
      </c>
    </row>
  </sheetData>
  <autoFilter ref="A1:N91"/>
  <conditionalFormatting sqref="A2:N400">
    <cfRule type="expression" priority="1" dxfId="0">
      <formula>AND($L2&lt;&gt;"OK",$L2&lt;&gt;"")</formula>
    </cfRule>
  </conditionalFormatting>
  <conditionalFormatting sqref="J2:J400">
    <cfRule type="cellIs" priority="2" operator="lessThan" dxfId="1">
      <formula>0</formula>
    </cfRule>
  </conditionalFormatting>
  <dataValidations count="2">
    <dataValidation sqref="B2:B400" showDropDown="0" showInputMessage="0" showErrorMessage="0" allowBlank="0" type="list">
      <formula1>"GRN,DN,TRF,ADJ"</formula1>
    </dataValidation>
    <dataValidation sqref="F2:F400" showDropDown="0" showInputMessage="0" showErrorMessage="0" allowBlank="0" type="list">
      <formula1>"Main,Annex"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2"/>
  <sheetViews>
    <sheetView showGridLines="1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8" customWidth="1" min="2" max="2"/>
    <col width="7" customWidth="1" min="3" max="3"/>
    <col width="10" customWidth="1" min="4" max="4"/>
    <col width="9" customWidth="1" min="5" max="5"/>
    <col width="9" customWidth="1" min="6" max="6"/>
    <col width="11" customWidth="1" min="7" max="7"/>
    <col width="10" customWidth="1" min="8" max="8"/>
    <col width="9" customWidth="1" min="9" max="9"/>
    <col width="9" customWidth="1" min="10" max="10"/>
    <col width="11" customWidth="1" min="11" max="11"/>
    <col width="11" customWidth="1" min="12" max="12"/>
    <col width="10" customWidth="1" min="13" max="13"/>
    <col width="15" customWidth="1" min="14" max="14"/>
    <col width="9" customWidth="1" min="15" max="15"/>
  </cols>
  <sheetData>
    <row r="1">
      <c r="A1" s="4" t="inlineStr">
        <is>
          <t>Stock on hand by SKU and location (live)</t>
        </is>
      </c>
    </row>
    <row r="3">
      <c r="A3" s="1" t="inlineStr">
        <is>
          <t>SKU</t>
        </is>
      </c>
      <c r="B3" s="1" t="inlineStr">
        <is>
          <t>Description</t>
        </is>
      </c>
      <c r="C3" s="1" t="inlineStr">
        <is>
          <t>Unit</t>
        </is>
      </c>
      <c r="D3" s="1" t="inlineStr">
        <is>
          <t>Opening Main</t>
        </is>
      </c>
      <c r="E3" s="1" t="inlineStr">
        <is>
          <t>In Main</t>
        </is>
      </c>
      <c r="F3" s="1" t="inlineStr">
        <is>
          <t>Out Main</t>
        </is>
      </c>
      <c r="G3" s="1" t="inlineStr">
        <is>
          <t>On Hand Main</t>
        </is>
      </c>
      <c r="H3" s="1" t="inlineStr">
        <is>
          <t>Opening Annex</t>
        </is>
      </c>
      <c r="I3" s="1" t="inlineStr">
        <is>
          <t>In Annex</t>
        </is>
      </c>
      <c r="J3" s="1" t="inlineStr">
        <is>
          <t>Out Annex</t>
        </is>
      </c>
      <c r="K3" s="1" t="inlineStr">
        <is>
          <t>On Hand Annex</t>
        </is>
      </c>
      <c r="L3" s="1" t="inlineStr">
        <is>
          <t>Total On Hand</t>
        </is>
      </c>
      <c r="M3" s="1" t="inlineStr">
        <is>
          <t>Reorder Level</t>
        </is>
      </c>
      <c r="N3" s="1" t="inlineStr">
        <is>
          <t>Status</t>
        </is>
      </c>
      <c r="O3" s="1" t="inlineStr">
        <is>
          <t>Open Flags</t>
        </is>
      </c>
    </row>
    <row r="4">
      <c r="A4" t="str">
        <f>Items!A2</f>
        <v>PK-1001</v>
      </c>
      <c r="B4" t="str">
        <f>Items!B2</f>
        <v>Carton box 600x400x400</v>
      </c>
      <c r="C4" t="str">
        <f>Items!C2</f>
        <v>pcs</v>
      </c>
      <c r="D4">
        <f>Items!D2</f>
        <v>225</v>
      </c>
      <c r="E4">
        <f>SUMIFS(Movements!$G$2:$G$400,Movements!$D$2:$D$400,A4,Movements!$F$2:$F$400,"Main")</f>
        <v>120</v>
      </c>
      <c r="F4">
        <f>SUMIFS(Movements!$H$2:$H$400,Movements!$D$2:$D$400,A4,Movements!$F$2:$F$400,"Main")</f>
        <v>23</v>
      </c>
      <c r="G4">
        <f>D4+E4-F4</f>
        <v>322</v>
      </c>
      <c r="H4">
        <f>Items!E2</f>
        <v>19</v>
      </c>
      <c r="I4">
        <f>SUMIFS(Movements!$G$2:$G$400,Movements!$D$2:$D$400,A4,Movements!$F$2:$F$400,"Annex")</f>
        <v>10</v>
      </c>
      <c r="J4">
        <f>SUMIFS(Movements!$H$2:$H$400,Movements!$D$2:$D$400,A4,Movements!$F$2:$F$400,"Annex")</f>
        <v>0</v>
      </c>
      <c r="K4">
        <f>H4+I4-J4</f>
        <v>29</v>
      </c>
      <c r="L4">
        <f>G4+K4</f>
        <v>351</v>
      </c>
      <c r="M4">
        <f>Items!F2</f>
        <v>40</v>
      </c>
      <c r="N4" t="str">
        <f>IF(MIN(G4,K4)&lt;0,"NEGATIVE",IF(L4&lt;=M4,"BELOW REORDER","OK"))</f>
        <v>OK</v>
      </c>
      <c r="O4">
        <f>COUNTIFS(Movements!$D$2:$D$400,A4,Movements!$L$2:$L$400,"&lt;&gt;OK")</f>
        <v>0</v>
      </c>
    </row>
    <row r="5">
      <c r="A5" t="str">
        <f>Items!A3</f>
        <v>PK-1002</v>
      </c>
      <c r="B5" t="str">
        <f>Items!B3</f>
        <v>Carton box 400x300x300</v>
      </c>
      <c r="C5" t="str">
        <f>Items!C3</f>
        <v>pcs</v>
      </c>
      <c r="D5">
        <f>Items!D3</f>
        <v>262</v>
      </c>
      <c r="E5">
        <f>SUMIFS(Movements!$G$2:$G$400,Movements!$D$2:$D$400,A5,Movements!$F$2:$F$400,"Main")</f>
        <v>24</v>
      </c>
      <c r="F5">
        <f>SUMIFS(Movements!$H$2:$H$400,Movements!$D$2:$D$400,A5,Movements!$F$2:$F$400,"Main")</f>
        <v>0</v>
      </c>
      <c r="G5">
        <f>D5+E5-F5</f>
        <v>286</v>
      </c>
      <c r="H5">
        <f>Items!E3</f>
        <v>83</v>
      </c>
      <c r="I5">
        <f>SUMIFS(Movements!$G$2:$G$400,Movements!$D$2:$D$400,A5,Movements!$F$2:$F$400,"Annex")</f>
        <v>0</v>
      </c>
      <c r="J5">
        <f>SUMIFS(Movements!$H$2:$H$400,Movements!$D$2:$D$400,A5,Movements!$F$2:$F$400,"Annex")</f>
        <v>53</v>
      </c>
      <c r="K5">
        <f>H5+I5-J5</f>
        <v>30</v>
      </c>
      <c r="L5">
        <f>G5+K5</f>
        <v>316</v>
      </c>
      <c r="M5">
        <f>Items!F3</f>
        <v>100</v>
      </c>
      <c r="N5" t="str">
        <f>IF(MIN(G5,K5)&lt;0,"NEGATIVE",IF(L5&lt;=M5,"BELOW REORDER","OK"))</f>
        <v>OK</v>
      </c>
      <c r="O5">
        <f>COUNTIFS(Movements!$D$2:$D$400,A5,Movements!$L$2:$L$400,"&lt;&gt;OK")</f>
        <v>0</v>
      </c>
    </row>
    <row r="6">
      <c r="A6" t="str">
        <f>Items!A4</f>
        <v>PK-1003</v>
      </c>
      <c r="B6" t="str">
        <f>Items!B4</f>
        <v>Stretch film 500mm</v>
      </c>
      <c r="C6" t="str">
        <f>Items!C4</f>
        <v>roll</v>
      </c>
      <c r="D6">
        <f>Items!D4</f>
        <v>84</v>
      </c>
      <c r="E6">
        <f>SUMIFS(Movements!$G$2:$G$400,Movements!$D$2:$D$400,A6,Movements!$F$2:$F$400,"Main")</f>
        <v>180</v>
      </c>
      <c r="F6">
        <f>SUMIFS(Movements!$H$2:$H$400,Movements!$D$2:$D$400,A6,Movements!$F$2:$F$400,"Main")</f>
        <v>70</v>
      </c>
      <c r="G6">
        <f>D6+E6-F6</f>
        <v>194</v>
      </c>
      <c r="H6">
        <f>Items!E4</f>
        <v>9</v>
      </c>
      <c r="I6">
        <f>SUMIFS(Movements!$G$2:$G$400,Movements!$D$2:$D$400,A6,Movements!$F$2:$F$400,"Annex")</f>
        <v>40</v>
      </c>
      <c r="J6">
        <f>SUMIFS(Movements!$H$2:$H$400,Movements!$D$2:$D$400,A6,Movements!$F$2:$F$400,"Annex")</f>
        <v>44</v>
      </c>
      <c r="K6">
        <f>H6+I6-J6</f>
        <v>5</v>
      </c>
      <c r="L6">
        <f>G6+K6</f>
        <v>199</v>
      </c>
      <c r="M6">
        <f>Items!F4</f>
        <v>50</v>
      </c>
      <c r="N6" t="str">
        <f>IF(MIN(G6,K6)&lt;0,"NEGATIVE",IF(L6&lt;=M6,"BELOW REORDER","OK"))</f>
        <v>OK</v>
      </c>
      <c r="O6">
        <f>COUNTIFS(Movements!$D$2:$D$400,A6,Movements!$L$2:$L$400,"&lt;&gt;OK")</f>
        <v>0</v>
      </c>
    </row>
    <row r="7">
      <c r="A7" t="str">
        <f>Items!A5</f>
        <v>PK-1004</v>
      </c>
      <c r="B7" t="str">
        <f>Items!B5</f>
        <v>Packing tape 48mm</v>
      </c>
      <c r="C7" t="str">
        <f>Items!C5</f>
        <v>roll</v>
      </c>
      <c r="D7">
        <f>Items!D5</f>
        <v>334</v>
      </c>
      <c r="E7">
        <f>SUMIFS(Movements!$G$2:$G$400,Movements!$D$2:$D$400,A7,Movements!$F$2:$F$400,"Main")</f>
        <v>984</v>
      </c>
      <c r="F7">
        <f>SUMIFS(Movements!$H$2:$H$400,Movements!$D$2:$D$400,A7,Movements!$F$2:$F$400,"Main")</f>
        <v>12</v>
      </c>
      <c r="G7">
        <f>D7+E7-F7</f>
        <v>1306</v>
      </c>
      <c r="H7">
        <f>Items!E5</f>
        <v>12</v>
      </c>
      <c r="I7">
        <f>SUMIFS(Movements!$G$2:$G$400,Movements!$D$2:$D$400,A7,Movements!$F$2:$F$400,"Annex")</f>
        <v>0</v>
      </c>
      <c r="J7">
        <f>SUMIFS(Movements!$H$2:$H$400,Movements!$D$2:$D$400,A7,Movements!$F$2:$F$400,"Annex")</f>
        <v>0</v>
      </c>
      <c r="K7">
        <f>H7+I7-J7</f>
        <v>12</v>
      </c>
      <c r="L7">
        <f>G7+K7</f>
        <v>1318</v>
      </c>
      <c r="M7">
        <f>Items!F5</f>
        <v>60</v>
      </c>
      <c r="N7" t="str">
        <f>IF(MIN(G7,K7)&lt;0,"NEGATIVE",IF(L7&lt;=M7,"BELOW REORDER","OK"))</f>
        <v>OK</v>
      </c>
      <c r="O7">
        <f>COUNTIFS(Movements!$D$2:$D$400,A7,Movements!$L$2:$L$400,"&lt;&gt;OK")</f>
        <v>1</v>
      </c>
    </row>
    <row r="8">
      <c r="A8" t="str">
        <f>Items!A6</f>
        <v>PK-1005</v>
      </c>
      <c r="B8" t="str">
        <f>Items!B6</f>
        <v>Bubble wrap 1m x 50m</v>
      </c>
      <c r="C8" t="str">
        <f>Items!C6</f>
        <v>roll</v>
      </c>
      <c r="D8">
        <f>Items!D6</f>
        <v>247</v>
      </c>
      <c r="E8">
        <f>SUMIFS(Movements!$G$2:$G$400,Movements!$D$2:$D$400,A8,Movements!$F$2:$F$400,"Main")</f>
        <v>24</v>
      </c>
      <c r="F8">
        <f>SUMIFS(Movements!$H$2:$H$400,Movements!$D$2:$D$400,A8,Movements!$F$2:$F$400,"Main")</f>
        <v>52</v>
      </c>
      <c r="G8">
        <f>D8+E8-F8</f>
        <v>219</v>
      </c>
      <c r="H8">
        <f>Items!E6</f>
        <v>74</v>
      </c>
      <c r="I8">
        <f>SUMIFS(Movements!$G$2:$G$400,Movements!$D$2:$D$400,A8,Movements!$F$2:$F$400,"Annex")</f>
        <v>10</v>
      </c>
      <c r="J8">
        <f>SUMIFS(Movements!$H$2:$H$400,Movements!$D$2:$D$400,A8,Movements!$F$2:$F$400,"Annex")</f>
        <v>48</v>
      </c>
      <c r="K8">
        <f>H8+I8-J8</f>
        <v>36</v>
      </c>
      <c r="L8">
        <f>G8+K8</f>
        <v>255</v>
      </c>
      <c r="M8">
        <f>Items!F6</f>
        <v>80</v>
      </c>
      <c r="N8" t="str">
        <f>IF(MIN(G8,K8)&lt;0,"NEGATIVE",IF(L8&lt;=M8,"BELOW REORDER","OK"))</f>
        <v>OK</v>
      </c>
      <c r="O8">
        <f>COUNTIFS(Movements!$D$2:$D$400,A8,Movements!$L$2:$L$400,"&lt;&gt;OK")</f>
        <v>0</v>
      </c>
    </row>
    <row r="9">
      <c r="A9" t="str">
        <f>Items!A7</f>
        <v>PL-2001</v>
      </c>
      <c r="B9" t="str">
        <f>Items!B7</f>
        <v>Plastic pallet 1200x1000</v>
      </c>
      <c r="C9" t="str">
        <f>Items!C7</f>
        <v>pcs</v>
      </c>
      <c r="D9">
        <f>Items!D7</f>
        <v>89</v>
      </c>
      <c r="E9">
        <f>SUMIFS(Movements!$G$2:$G$400,Movements!$D$2:$D$400,A9,Movements!$F$2:$F$400,"Main")</f>
        <v>60</v>
      </c>
      <c r="F9">
        <f>SUMIFS(Movements!$H$2:$H$400,Movements!$D$2:$D$400,A9,Movements!$F$2:$F$400,"Main")</f>
        <v>20</v>
      </c>
      <c r="G9">
        <f>D9+E9-F9</f>
        <v>129</v>
      </c>
      <c r="H9">
        <f>Items!E7</f>
        <v>116</v>
      </c>
      <c r="I9">
        <f>SUMIFS(Movements!$G$2:$G$400,Movements!$D$2:$D$400,A9,Movements!$F$2:$F$400,"Annex")</f>
        <v>0</v>
      </c>
      <c r="J9">
        <f>SUMIFS(Movements!$H$2:$H$400,Movements!$D$2:$D$400,A9,Movements!$F$2:$F$400,"Annex")</f>
        <v>0</v>
      </c>
      <c r="K9">
        <f>H9+I9-J9</f>
        <v>116</v>
      </c>
      <c r="L9">
        <f>G9+K9</f>
        <v>245</v>
      </c>
      <c r="M9">
        <f>Items!F7</f>
        <v>50</v>
      </c>
      <c r="N9" t="str">
        <f>IF(MIN(G9,K9)&lt;0,"NEGATIVE",IF(L9&lt;=M9,"BELOW REORDER","OK"))</f>
        <v>OK</v>
      </c>
      <c r="O9">
        <f>COUNTIFS(Movements!$D$2:$D$400,A9,Movements!$L$2:$L$400,"&lt;&gt;OK")</f>
        <v>1</v>
      </c>
    </row>
    <row r="10">
      <c r="A10" t="str">
        <f>Items!A8</f>
        <v>PL-2002</v>
      </c>
      <c r="B10" t="str">
        <f>Items!B8</f>
        <v>Wooden pallet 1200x800</v>
      </c>
      <c r="C10" t="str">
        <f>Items!C8</f>
        <v>pcs</v>
      </c>
      <c r="D10">
        <f>Items!D8</f>
        <v>319</v>
      </c>
      <c r="E10">
        <f>SUMIFS(Movements!$G$2:$G$400,Movements!$D$2:$D$400,A10,Movements!$F$2:$F$400,"Main")</f>
        <v>48</v>
      </c>
      <c r="F10">
        <f>SUMIFS(Movements!$H$2:$H$400,Movements!$D$2:$D$400,A10,Movements!$F$2:$F$400,"Main")</f>
        <v>50</v>
      </c>
      <c r="G10">
        <f>D10+E10-F10</f>
        <v>317</v>
      </c>
      <c r="H10">
        <f>Items!E8</f>
        <v>27</v>
      </c>
      <c r="I10">
        <f>SUMIFS(Movements!$G$2:$G$400,Movements!$D$2:$D$400,A10,Movements!$F$2:$F$400,"Annex")</f>
        <v>0</v>
      </c>
      <c r="J10">
        <f>SUMIFS(Movements!$H$2:$H$400,Movements!$D$2:$D$400,A10,Movements!$F$2:$F$400,"Annex")</f>
        <v>22</v>
      </c>
      <c r="K10">
        <f>H10+I10-J10</f>
        <v>5</v>
      </c>
      <c r="L10">
        <f>G10+K10</f>
        <v>322</v>
      </c>
      <c r="M10">
        <f>Items!F8</f>
        <v>100</v>
      </c>
      <c r="N10" t="str">
        <f>IF(MIN(G10,K10)&lt;0,"NEGATIVE",IF(L10&lt;=M10,"BELOW REORDER","OK"))</f>
        <v>OK</v>
      </c>
      <c r="O10">
        <f>COUNTIFS(Movements!$D$2:$D$400,A10,Movements!$L$2:$L$400,"&lt;&gt;OK")</f>
        <v>0</v>
      </c>
    </row>
    <row r="11">
      <c r="A11" t="str">
        <f>Items!A9</f>
        <v>SF-3001</v>
      </c>
      <c r="B11" t="str">
        <f>Items!B9</f>
        <v>Safety gloves (pair)</v>
      </c>
      <c r="C11" t="str">
        <f>Items!C9</f>
        <v>pair</v>
      </c>
      <c r="D11">
        <f>Items!D9</f>
        <v>79</v>
      </c>
      <c r="E11">
        <f>SUMIFS(Movements!$G$2:$G$400,Movements!$D$2:$D$400,A11,Movements!$F$2:$F$400,"Main")</f>
        <v>100</v>
      </c>
      <c r="F11">
        <f>SUMIFS(Movements!$H$2:$H$400,Movements!$D$2:$D$400,A11,Movements!$F$2:$F$400,"Main")</f>
        <v>67</v>
      </c>
      <c r="G11">
        <f>D11+E11-F11</f>
        <v>112</v>
      </c>
      <c r="H11">
        <f>Items!E9</f>
        <v>11</v>
      </c>
      <c r="I11">
        <f>SUMIFS(Movements!$G$2:$G$400,Movements!$D$2:$D$400,A11,Movements!$F$2:$F$400,"Annex")</f>
        <v>0</v>
      </c>
      <c r="J11">
        <f>SUMIFS(Movements!$H$2:$H$400,Movements!$D$2:$D$400,A11,Movements!$F$2:$F$400,"Annex")</f>
        <v>0</v>
      </c>
      <c r="K11">
        <f>H11+I11-J11</f>
        <v>11</v>
      </c>
      <c r="L11">
        <f>G11+K11</f>
        <v>123</v>
      </c>
      <c r="M11">
        <f>Items!F9</f>
        <v>40</v>
      </c>
      <c r="N11" t="str">
        <f>IF(MIN(G11,K11)&lt;0,"NEGATIVE",IF(L11&lt;=M11,"BELOW REORDER","OK"))</f>
        <v>OK</v>
      </c>
      <c r="O11">
        <f>COUNTIFS(Movements!$D$2:$D$400,A11,Movements!$L$2:$L$400,"&lt;&gt;OK")</f>
        <v>1</v>
      </c>
    </row>
    <row r="12">
      <c r="A12" t="str">
        <f>Items!A10</f>
        <v>SF-3002</v>
      </c>
      <c r="B12" t="str">
        <f>Items!B10</f>
        <v>Hi-vis vest</v>
      </c>
      <c r="C12" t="str">
        <f>Items!C10</f>
        <v>pcs</v>
      </c>
      <c r="D12">
        <f>Items!D10</f>
        <v>282</v>
      </c>
      <c r="E12">
        <f>SUMIFS(Movements!$G$2:$G$400,Movements!$D$2:$D$400,A12,Movements!$F$2:$F$400,"Main")</f>
        <v>0</v>
      </c>
      <c r="F12">
        <f>SUMIFS(Movements!$H$2:$H$400,Movements!$D$2:$D$400,A12,Movements!$F$2:$F$400,"Main")</f>
        <v>73</v>
      </c>
      <c r="G12">
        <f>D12+E12-F12</f>
        <v>209</v>
      </c>
      <c r="H12">
        <f>Items!E10</f>
        <v>53</v>
      </c>
      <c r="I12">
        <f>SUMIFS(Movements!$G$2:$G$400,Movements!$D$2:$D$400,A12,Movements!$F$2:$F$400,"Annex")</f>
        <v>10</v>
      </c>
      <c r="J12">
        <f>SUMIFS(Movements!$H$2:$H$400,Movements!$D$2:$D$400,A12,Movements!$F$2:$F$400,"Annex")</f>
        <v>58</v>
      </c>
      <c r="K12">
        <f>H12+I12-J12</f>
        <v>5</v>
      </c>
      <c r="L12">
        <f>G12+K12</f>
        <v>214</v>
      </c>
      <c r="M12">
        <f>Items!F10</f>
        <v>100</v>
      </c>
      <c r="N12" t="str">
        <f>IF(MIN(G12,K12)&lt;0,"NEGATIVE",IF(L12&lt;=M12,"BELOW REORDER","OK"))</f>
        <v>OK</v>
      </c>
      <c r="O12">
        <f>COUNTIFS(Movements!$D$2:$D$400,A12,Movements!$L$2:$L$400,"&lt;&gt;OK")</f>
        <v>0</v>
      </c>
    </row>
    <row r="13">
      <c r="A13" t="str">
        <f>Items!A11</f>
        <v>LB-4001</v>
      </c>
      <c r="B13" t="str">
        <f>Items!B11</f>
        <v>Thermal label 100x150</v>
      </c>
      <c r="C13" t="str">
        <f>Items!C11</f>
        <v>roll</v>
      </c>
      <c r="D13">
        <f>Items!D11</f>
        <v>95</v>
      </c>
      <c r="E13">
        <f>SUMIFS(Movements!$G$2:$G$400,Movements!$D$2:$D$400,A13,Movements!$F$2:$F$400,"Main")</f>
        <v>0</v>
      </c>
      <c r="F13">
        <f>SUMIFS(Movements!$H$2:$H$400,Movements!$D$2:$D$400,A13,Movements!$F$2:$F$400,"Main")</f>
        <v>0</v>
      </c>
      <c r="G13">
        <f>D13+E13-F13</f>
        <v>95</v>
      </c>
      <c r="H13">
        <f>Items!E11</f>
        <v>30</v>
      </c>
      <c r="I13">
        <f>SUMIFS(Movements!$G$2:$G$400,Movements!$D$2:$D$400,A13,Movements!$F$2:$F$400,"Annex")</f>
        <v>0</v>
      </c>
      <c r="J13">
        <f>SUMIFS(Movements!$H$2:$H$400,Movements!$D$2:$D$400,A13,Movements!$F$2:$F$400,"Annex")</f>
        <v>25</v>
      </c>
      <c r="K13">
        <f>H13+I13-J13</f>
        <v>5</v>
      </c>
      <c r="L13">
        <f>G13+K13</f>
        <v>100</v>
      </c>
      <c r="M13">
        <f>Items!F11</f>
        <v>60</v>
      </c>
      <c r="N13" t="str">
        <f>IF(MIN(G13,K13)&lt;0,"NEGATIVE",IF(L13&lt;=M13,"BELOW REORDER","OK"))</f>
        <v>OK</v>
      </c>
      <c r="O13">
        <f>COUNTIFS(Movements!$D$2:$D$400,A13,Movements!$L$2:$L$400,"&lt;&gt;OK")</f>
        <v>0</v>
      </c>
    </row>
    <row r="14">
      <c r="A14" t="str">
        <f>Items!A12</f>
        <v>LB-4002</v>
      </c>
      <c r="B14" t="str">
        <f>Items!B12</f>
        <v>Barcode ribbon 110mm</v>
      </c>
      <c r="C14" t="str">
        <f>Items!C12</f>
        <v>roll</v>
      </c>
      <c r="D14">
        <f>Items!D12</f>
        <v>106</v>
      </c>
      <c r="E14">
        <f>SUMIFS(Movements!$G$2:$G$400,Movements!$D$2:$D$400,A14,Movements!$F$2:$F$400,"Main")</f>
        <v>0</v>
      </c>
      <c r="F14">
        <f>SUMIFS(Movements!$H$2:$H$400,Movements!$D$2:$D$400,A14,Movements!$F$2:$F$400,"Main")</f>
        <v>30</v>
      </c>
      <c r="G14">
        <f>D14+E14-F14</f>
        <v>76</v>
      </c>
      <c r="H14">
        <f>Items!E12</f>
        <v>70</v>
      </c>
      <c r="I14">
        <f>SUMIFS(Movements!$G$2:$G$400,Movements!$D$2:$D$400,A14,Movements!$F$2:$F$400,"Annex")</f>
        <v>30</v>
      </c>
      <c r="J14">
        <f>SUMIFS(Movements!$H$2:$H$400,Movements!$D$2:$D$400,A14,Movements!$F$2:$F$400,"Annex")</f>
        <v>0</v>
      </c>
      <c r="K14">
        <f>H14+I14-J14</f>
        <v>100</v>
      </c>
      <c r="L14">
        <f>G14+K14</f>
        <v>176</v>
      </c>
      <c r="M14">
        <f>Items!F12</f>
        <v>100</v>
      </c>
      <c r="N14" t="str">
        <f>IF(MIN(G14,K14)&lt;0,"NEGATIVE",IF(L14&lt;=M14,"BELOW REORDER","OK"))</f>
        <v>OK</v>
      </c>
      <c r="O14">
        <f>COUNTIFS(Movements!$D$2:$D$400,A14,Movements!$L$2:$L$400,"&lt;&gt;OK")</f>
        <v>0</v>
      </c>
    </row>
    <row r="15">
      <c r="A15" t="str">
        <f>Items!A13</f>
        <v>CL-5001</v>
      </c>
      <c r="B15" t="str">
        <f>Items!B13</f>
        <v>Floor cleaner 5L</v>
      </c>
      <c r="C15" t="str">
        <f>Items!C13</f>
        <v>can</v>
      </c>
      <c r="D15">
        <f>Items!D13</f>
        <v>277</v>
      </c>
      <c r="E15">
        <f>SUMIFS(Movements!$G$2:$G$400,Movements!$D$2:$D$400,A15,Movements!$F$2:$F$400,"Main")</f>
        <v>36</v>
      </c>
      <c r="F15">
        <f>SUMIFS(Movements!$H$2:$H$400,Movements!$D$2:$D$400,A15,Movements!$F$2:$F$400,"Main")</f>
        <v>28</v>
      </c>
      <c r="G15">
        <f>D15+E15-F15</f>
        <v>285</v>
      </c>
      <c r="H15">
        <f>Items!E13</f>
        <v>7</v>
      </c>
      <c r="I15">
        <f>SUMIFS(Movements!$G$2:$G$400,Movements!$D$2:$D$400,A15,Movements!$F$2:$F$400,"Annex")</f>
        <v>0</v>
      </c>
      <c r="J15">
        <f>SUMIFS(Movements!$H$2:$H$400,Movements!$D$2:$D$400,A15,Movements!$F$2:$F$400,"Annex")</f>
        <v>2</v>
      </c>
      <c r="K15">
        <f>H15+I15-J15</f>
        <v>5</v>
      </c>
      <c r="L15">
        <f>G15+K15</f>
        <v>290</v>
      </c>
      <c r="M15">
        <f>Items!F13</f>
        <v>50</v>
      </c>
      <c r="N15" t="str">
        <f>IF(MIN(G15,K15)&lt;0,"NEGATIVE",IF(L15&lt;=M15,"BELOW REORDER","OK"))</f>
        <v>OK</v>
      </c>
      <c r="O15">
        <f>COUNTIFS(Movements!$D$2:$D$400,A15,Movements!$L$2:$L$400,"&lt;&gt;OK")</f>
        <v>0</v>
      </c>
    </row>
    <row r="16">
      <c r="A16" t="str">
        <f>Items!A14</f>
        <v>CL-5002</v>
      </c>
      <c r="B16" t="str">
        <f>Items!B14</f>
        <v>Industrial wipes</v>
      </c>
      <c r="C16" t="str">
        <f>Items!C14</f>
        <v>box</v>
      </c>
      <c r="D16">
        <f>Items!D14</f>
        <v>349</v>
      </c>
      <c r="E16">
        <f>SUMIFS(Movements!$G$2:$G$400,Movements!$D$2:$D$400,A16,Movements!$F$2:$F$400,"Main")</f>
        <v>0</v>
      </c>
      <c r="F16">
        <f>SUMIFS(Movements!$H$2:$H$400,Movements!$D$2:$D$400,A16,Movements!$F$2:$F$400,"Main")</f>
        <v>40</v>
      </c>
      <c r="G16">
        <f>D16+E16-F16</f>
        <v>309</v>
      </c>
      <c r="H16">
        <f>Items!E14</f>
        <v>15</v>
      </c>
      <c r="I16">
        <f>SUMIFS(Movements!$G$2:$G$400,Movements!$D$2:$D$400,A16,Movements!$F$2:$F$400,"Annex")</f>
        <v>40</v>
      </c>
      <c r="J16">
        <f>SUMIFS(Movements!$H$2:$H$400,Movements!$D$2:$D$400,A16,Movements!$F$2:$F$400,"Annex")</f>
        <v>31</v>
      </c>
      <c r="K16">
        <f>H16+I16-J16</f>
        <v>24</v>
      </c>
      <c r="L16">
        <f>G16+K16</f>
        <v>333</v>
      </c>
      <c r="M16">
        <f>Items!F14</f>
        <v>40</v>
      </c>
      <c r="N16" t="str">
        <f>IF(MIN(G16,K16)&lt;0,"NEGATIVE",IF(L16&lt;=M16,"BELOW REORDER","OK"))</f>
        <v>OK</v>
      </c>
      <c r="O16">
        <f>COUNTIFS(Movements!$D$2:$D$400,A16,Movements!$L$2:$L$400,"&lt;&gt;OK")</f>
        <v>0</v>
      </c>
    </row>
    <row r="17">
      <c r="A17" t="str">
        <f>Items!A15</f>
        <v>HW-6001</v>
      </c>
      <c r="B17" t="str">
        <f>Items!B15</f>
        <v>Cable ties 300mm (100)</v>
      </c>
      <c r="C17" t="str">
        <f>Items!C15</f>
        <v>pack</v>
      </c>
      <c r="D17">
        <f>Items!D15</f>
        <v>174</v>
      </c>
      <c r="E17">
        <f>SUMIFS(Movements!$G$2:$G$400,Movements!$D$2:$D$400,A17,Movements!$F$2:$F$400,"Main")</f>
        <v>0</v>
      </c>
      <c r="F17">
        <f>SUMIFS(Movements!$H$2:$H$400,Movements!$D$2:$D$400,A17,Movements!$F$2:$F$400,"Main")</f>
        <v>10</v>
      </c>
      <c r="G17">
        <f>D17+E17-F17</f>
        <v>164</v>
      </c>
      <c r="H17">
        <f>Items!E15</f>
        <v>80</v>
      </c>
      <c r="I17">
        <f>SUMIFS(Movements!$G$2:$G$400,Movements!$D$2:$D$400,A17,Movements!$F$2:$F$400,"Annex")</f>
        <v>10</v>
      </c>
      <c r="J17">
        <f>SUMIFS(Movements!$H$2:$H$400,Movements!$D$2:$D$400,A17,Movements!$F$2:$F$400,"Annex")</f>
        <v>0</v>
      </c>
      <c r="K17">
        <f>H17+I17-J17</f>
        <v>90</v>
      </c>
      <c r="L17">
        <f>G17+K17</f>
        <v>254</v>
      </c>
      <c r="M17">
        <f>Items!F15</f>
        <v>100</v>
      </c>
      <c r="N17" t="str">
        <f>IF(MIN(G17,K17)&lt;0,"NEGATIVE",IF(L17&lt;=M17,"BELOW REORDER","OK"))</f>
        <v>OK</v>
      </c>
      <c r="O17">
        <f>COUNTIFS(Movements!$D$2:$D$400,A17,Movements!$L$2:$L$400,"&lt;&gt;OK")</f>
        <v>0</v>
      </c>
    </row>
    <row r="18">
      <c r="A18" t="str">
        <f>Items!A16</f>
        <v>HW-6002</v>
      </c>
      <c r="B18" t="str">
        <f>Items!B16</f>
        <v>Strapping band 12mm</v>
      </c>
      <c r="C18" t="str">
        <f>Items!C16</f>
        <v>coil</v>
      </c>
      <c r="D18">
        <f>Items!D16</f>
        <v>381</v>
      </c>
      <c r="E18">
        <f>SUMIFS(Movements!$G$2:$G$400,Movements!$D$2:$D$400,A18,Movements!$F$2:$F$400,"Main")</f>
        <v>148</v>
      </c>
      <c r="F18">
        <f>SUMIFS(Movements!$H$2:$H$400,Movements!$D$2:$D$400,A18,Movements!$F$2:$F$400,"Main")</f>
        <v>31</v>
      </c>
      <c r="G18">
        <f>D18+E18-F18</f>
        <v>498</v>
      </c>
      <c r="H18">
        <f>Items!E16</f>
        <v>74</v>
      </c>
      <c r="I18">
        <f>SUMIFS(Movements!$G$2:$G$400,Movements!$D$2:$D$400,A18,Movements!$F$2:$F$400,"Annex")</f>
        <v>0</v>
      </c>
      <c r="J18">
        <f>SUMIFS(Movements!$H$2:$H$400,Movements!$D$2:$D$400,A18,Movements!$F$2:$F$400,"Annex")</f>
        <v>48</v>
      </c>
      <c r="K18">
        <f>H18+I18-J18</f>
        <v>26</v>
      </c>
      <c r="L18">
        <f>G18+K18</f>
        <v>524</v>
      </c>
      <c r="M18">
        <f>Items!F16</f>
        <v>100</v>
      </c>
      <c r="N18" t="str">
        <f>IF(MIN(G18,K18)&lt;0,"NEGATIVE",IF(L18&lt;=M18,"BELOW REORDER","OK"))</f>
        <v>OK</v>
      </c>
      <c r="O18">
        <f>COUNTIFS(Movements!$D$2:$D$400,A18,Movements!$L$2:$L$400,"&lt;&gt;OK")</f>
        <v>0</v>
      </c>
    </row>
    <row r="19">
      <c r="A19" t="str">
        <f>Items!A17</f>
        <v>HW-6003</v>
      </c>
      <c r="B19" t="str">
        <f>Items!B17</f>
        <v>Strapping seals (1000)</v>
      </c>
      <c r="C19" t="str">
        <f>Items!C17</f>
        <v>box</v>
      </c>
      <c r="D19">
        <f>Items!D17</f>
        <v>91</v>
      </c>
      <c r="E19">
        <f>SUMIFS(Movements!$G$2:$G$400,Movements!$D$2:$D$400,A19,Movements!$F$2:$F$400,"Main")</f>
        <v>136</v>
      </c>
      <c r="F19">
        <f>SUMIFS(Movements!$H$2:$H$400,Movements!$D$2:$D$400,A19,Movements!$F$2:$F$400,"Main")</f>
        <v>34</v>
      </c>
      <c r="G19">
        <f>D19+E19-F19</f>
        <v>193</v>
      </c>
      <c r="H19">
        <f>Items!E17</f>
        <v>73</v>
      </c>
      <c r="I19">
        <f>SUMIFS(Movements!$G$2:$G$400,Movements!$D$2:$D$400,A19,Movements!$F$2:$F$400,"Annex")</f>
        <v>0</v>
      </c>
      <c r="J19">
        <f>SUMIFS(Movements!$H$2:$H$400,Movements!$D$2:$D$400,A19,Movements!$F$2:$F$400,"Annex")</f>
        <v>22</v>
      </c>
      <c r="K19">
        <f>H19+I19-J19</f>
        <v>51</v>
      </c>
      <c r="L19">
        <f>G19+K19</f>
        <v>244</v>
      </c>
      <c r="M19">
        <f>Items!F17</f>
        <v>50</v>
      </c>
      <c r="N19" t="str">
        <f>IF(MIN(G19,K19)&lt;0,"NEGATIVE",IF(L19&lt;=M19,"BELOW REORDER","OK"))</f>
        <v>OK</v>
      </c>
      <c r="O19">
        <f>COUNTIFS(Movements!$D$2:$D$400,A19,Movements!$L$2:$L$400,"&lt;&gt;OK")</f>
        <v>0</v>
      </c>
    </row>
    <row r="20">
      <c r="A20" t="str">
        <f>Items!A18</f>
        <v>ST-7001</v>
      </c>
      <c r="B20" t="str">
        <f>Items!B18</f>
        <v>Shelf bin small</v>
      </c>
      <c r="C20" t="str">
        <f>Items!C18</f>
        <v>pcs</v>
      </c>
      <c r="D20">
        <f>Items!D18</f>
        <v>359</v>
      </c>
      <c r="E20">
        <f>SUMIFS(Movements!$G$2:$G$400,Movements!$D$2:$D$400,A20,Movements!$F$2:$F$400,"Main")</f>
        <v>48</v>
      </c>
      <c r="F20">
        <f>SUMIFS(Movements!$H$2:$H$400,Movements!$D$2:$D$400,A20,Movements!$F$2:$F$400,"Main")</f>
        <v>130</v>
      </c>
      <c r="G20">
        <f>D20+E20-F20</f>
        <v>277</v>
      </c>
      <c r="H20">
        <f>Items!E18</f>
        <v>50</v>
      </c>
      <c r="I20">
        <f>SUMIFS(Movements!$G$2:$G$400,Movements!$D$2:$D$400,A20,Movements!$F$2:$F$400,"Annex")</f>
        <v>10</v>
      </c>
      <c r="J20">
        <f>SUMIFS(Movements!$H$2:$H$400,Movements!$D$2:$D$400,A20,Movements!$F$2:$F$400,"Annex")</f>
        <v>16</v>
      </c>
      <c r="K20">
        <f>H20+I20-J20</f>
        <v>44</v>
      </c>
      <c r="L20">
        <f>G20+K20</f>
        <v>321</v>
      </c>
      <c r="M20">
        <f>Items!F18</f>
        <v>60</v>
      </c>
      <c r="N20" t="str">
        <f>IF(MIN(G20,K20)&lt;0,"NEGATIVE",IF(L20&lt;=M20,"BELOW REORDER","OK"))</f>
        <v>OK</v>
      </c>
      <c r="O20">
        <f>COUNTIFS(Movements!$D$2:$D$400,A20,Movements!$L$2:$L$400,"&lt;&gt;OK")</f>
        <v>2</v>
      </c>
    </row>
    <row r="21">
      <c r="A21" t="str">
        <f>Items!A19</f>
        <v>ST-7002</v>
      </c>
      <c r="B21" t="str">
        <f>Items!B19</f>
        <v>Shelf bin large</v>
      </c>
      <c r="C21" t="str">
        <f>Items!C19</f>
        <v>pcs</v>
      </c>
      <c r="D21">
        <f>Items!D19</f>
        <v>85</v>
      </c>
      <c r="E21">
        <f>SUMIFS(Movements!$G$2:$G$400,Movements!$D$2:$D$400,A21,Movements!$F$2:$F$400,"Main")</f>
        <v>48</v>
      </c>
      <c r="F21">
        <f>SUMIFS(Movements!$H$2:$H$400,Movements!$D$2:$D$400,A21,Movements!$F$2:$F$400,"Main")</f>
        <v>0</v>
      </c>
      <c r="G21">
        <f>D21+E21-F21</f>
        <v>133</v>
      </c>
      <c r="H21">
        <f>Items!E19</f>
        <v>28</v>
      </c>
      <c r="I21">
        <f>SUMIFS(Movements!$G$2:$G$400,Movements!$D$2:$D$400,A21,Movements!$F$2:$F$400,"Annex")</f>
        <v>0</v>
      </c>
      <c r="J21">
        <f>SUMIFS(Movements!$H$2:$H$400,Movements!$D$2:$D$400,A21,Movements!$F$2:$F$400,"Annex")</f>
        <v>43</v>
      </c>
      <c r="K21">
        <f>H21+I21-J21</f>
        <v>-15</v>
      </c>
      <c r="L21">
        <f>G21+K21</f>
        <v>118</v>
      </c>
      <c r="M21">
        <f>Items!F19</f>
        <v>40</v>
      </c>
      <c r="N21" t="str">
        <f>IF(MIN(G21,K21)&lt;0,"NEGATIVE",IF(L21&lt;=M21,"BELOW REORDER","OK"))</f>
        <v>NEGATIVE</v>
      </c>
      <c r="O21">
        <f>COUNTIFS(Movements!$D$2:$D$400,A21,Movements!$L$2:$L$400,"&lt;&gt;OK")</f>
        <v>1</v>
      </c>
    </row>
    <row r="22">
      <c r="A22" s="5" t="inlineStr">
        <is>
          <t>Total</t>
        </is>
      </c>
      <c r="B22" s="5" t="inlineStr"/>
      <c r="C22" s="5" t="inlineStr"/>
      <c r="D22" s="5">
        <f>SUM(D4:D21)</f>
        <v>3838</v>
      </c>
      <c r="E22" s="5">
        <f>SUM(E4:E21)</f>
        <v>1956</v>
      </c>
      <c r="F22" s="5">
        <f>SUM(F4:F21)</f>
        <v>670</v>
      </c>
      <c r="G22" s="5">
        <f>SUM(G4:G21)</f>
        <v>5124</v>
      </c>
      <c r="H22" s="5">
        <f>SUM(H4:H21)</f>
        <v>831</v>
      </c>
      <c r="I22" s="5">
        <f>SUM(I4:I21)</f>
        <v>160</v>
      </c>
      <c r="J22" s="5">
        <f>SUM(J4:J21)</f>
        <v>412</v>
      </c>
      <c r="K22" s="5">
        <f>SUM(K4:K21)</f>
        <v>579</v>
      </c>
      <c r="L22" s="5">
        <f>SUM(L4:L21)</f>
        <v>5703</v>
      </c>
      <c r="M22" s="5" t="inlineStr"/>
      <c r="N22" s="5" t="inlineStr"/>
      <c r="O22" s="5">
        <f>SUM(O4:O21)</f>
        <v>6</v>
      </c>
    </row>
  </sheetData>
  <conditionalFormatting sqref="N4:N21">
    <cfRule type="cellIs" priority="1" operator="equal" dxfId="1">
      <formula>"NEGATIVE"</formula>
    </cfRule>
    <cfRule type="cellIs" priority="2" operator="equal" dxfId="0">
      <formula>"BELOW REORDER"</formula>
    </cfRule>
    <cfRule type="cellIs" priority="3" operator="equal" dxfId="2">
      <formula>"OK"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4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28" customWidth="1" min="2" max="2"/>
    <col width="13" customWidth="1" min="3" max="3"/>
    <col width="10" customWidth="1" min="4" max="4"/>
    <col width="10" customWidth="1" min="5" max="5"/>
    <col width="13" customWidth="1" min="6" max="6"/>
    <col width="13" customWidth="1" min="7" max="7"/>
    <col width="20" customWidth="1" min="8" max="8"/>
    <col width="28" customWidth="1" min="9" max="9"/>
  </cols>
  <sheetData>
    <row r="1">
      <c r="A1" s="6" t="inlineStr">
        <is>
          <t>Weekly Stock Report</t>
        </is>
      </c>
    </row>
    <row r="2">
      <c r="A2" s="7" t="inlineStr">
        <is>
          <t>Sample warehouse - change the week in C4 and everything below updates.</t>
        </is>
      </c>
    </row>
    <row r="4">
      <c r="B4" t="inlineStr">
        <is>
          <t>Week starting (Mon):</t>
        </is>
      </c>
      <c r="C4" s="8" t="n">
        <v>46314</v>
      </c>
      <c r="D4" t="str">
        <f>"to "&amp;TEXT(C4+6,"DD-MMM-YYYY")</f>
        <v>to 25-Oct-2026</v>
      </c>
    </row>
    <row r="6">
      <c r="A6" s="9" t="inlineStr">
        <is>
          <t>Movement lines entered</t>
        </is>
      </c>
      <c r="C6" s="9" t="inlineStr">
        <is>
          <t>Units received</t>
        </is>
      </c>
      <c r="E6" s="9" t="inlineStr">
        <is>
          <t>Units dispatched</t>
        </is>
      </c>
    </row>
    <row r="7">
      <c r="A7" s="4">
        <f>COUNTIFS(Movements!$K$2:$K$400,C4)</f>
        <v>49</v>
      </c>
      <c r="C7" s="4">
        <f>SUMIFS(Movements!$G$2:$G$400,Movements!$K$2:$K$400,C4,Movements!$B$2:$B$400,"GRN")</f>
        <v>1620</v>
      </c>
      <c r="E7" s="4">
        <f>SUMIFS(Movements!$H$2:$H$400,Movements!$K$2:$K$400,C4,Movements!$B$2:$B$400,"DN")</f>
        <v>573</v>
      </c>
    </row>
    <row r="8">
      <c r="A8" s="9" t="inlineStr">
        <is>
          <t>Units transferred</t>
        </is>
      </c>
      <c r="C8" s="9" t="inlineStr">
        <is>
          <t>Discrepancies to chase</t>
        </is>
      </c>
      <c r="E8" s="9" t="inlineStr">
        <is>
          <t>SKUs at/below reorder</t>
        </is>
      </c>
    </row>
    <row r="9">
      <c r="A9" s="4">
        <f>SUMIFS(Movements!$H$2:$H$400,Movements!$K$2:$K$400,C4,Movements!$B$2:$B$400,"TRF")</f>
        <v>80</v>
      </c>
      <c r="C9" s="4">
        <f>COUNTIFS(Movements!$K$2:$K$400,C4,Movements!$L$2:$L$400,"&lt;&gt;OK")</f>
        <v>7</v>
      </c>
      <c r="E9" s="4">
        <f>COUNTIF(Balance!$N$4:$N$21,"BELOW REORDER")+COUNTIF(Balance!$N$4:$N$21,"NEGATIVE")</f>
        <v>1</v>
      </c>
    </row>
    <row r="11">
      <c r="A11" s="1" t="inlineStr">
        <is>
          <t>SKU</t>
        </is>
      </c>
      <c r="B11" s="1" t="inlineStr">
        <is>
          <t>Description</t>
        </is>
      </c>
      <c r="C11" s="1" t="inlineStr">
        <is>
          <t>Opening (week start)</t>
        </is>
      </c>
      <c r="D11" s="1" t="inlineStr">
        <is>
          <t>In</t>
        </is>
      </c>
      <c r="E11" s="1" t="inlineStr">
        <is>
          <t>Out</t>
        </is>
      </c>
      <c r="F11" s="1" t="inlineStr">
        <is>
          <t>Closing (week end)</t>
        </is>
      </c>
      <c r="G11" s="1" t="inlineStr">
        <is>
          <t>Status Now</t>
        </is>
      </c>
      <c r="H11" s="1" t="inlineStr">
        <is>
          <t>Flags This Week</t>
        </is>
      </c>
    </row>
    <row r="12">
      <c r="A12" t="str">
        <f>Items!A2</f>
        <v>PK-1001</v>
      </c>
      <c r="B12" t="str">
        <f>Items!B2</f>
        <v>Carton box 600x400x400</v>
      </c>
      <c r="C12">
        <f>Items!D2+Items!E2+SUMIFS(Movements!$G$2:$G$400,Movements!$D$2:$D$400,A12,Movements!$A$2:$A$400,"&lt;"&amp;$C$4)-SUMIFS(Movements!$H$2:$H$400,Movements!$D$2:$D$400,A12,Movements!$A$2:$A$400,"&lt;"&amp;$C$4)</f>
        <v>340</v>
      </c>
      <c r="D12">
        <f>SUMIFS(Movements!$G$2:$G$400,Movements!$D$2:$D$400,A12,Movements!$K$2:$K$400,$C$4,Movements!$B$2:$B$400,"&lt;&gt;TRF")</f>
        <v>24</v>
      </c>
      <c r="E12">
        <f>SUMIFS(Movements!$H$2:$H$400,Movements!$D$2:$D$400,A12,Movements!$K$2:$K$400,$C$4,Movements!$B$2:$B$400,"&lt;&gt;TRF")</f>
        <v>13</v>
      </c>
      <c r="F12">
        <f>C12+SUMIFS(Movements!$G$2:$G$400,Movements!$D$2:$D$400,A12,Movements!$K$2:$K$400,$C$4)-SUMIFS(Movements!$H$2:$H$400,Movements!$D$2:$D$400,A12,Movements!$K$2:$K$400,$C$4)</f>
        <v>351</v>
      </c>
      <c r="G12" t="str">
        <f>INDEX(Balance!$N$4:$N$21,MATCH(A12,Balance!$A$4:$A$21,0))</f>
        <v>OK</v>
      </c>
      <c r="H12">
        <f>COUNTIFS(Movements!$D$2:$D$400,A12,Movements!$K$2:$K$400,$C$4,Movements!$L$2:$L$400,"&lt;&gt;OK")</f>
        <v>0</v>
      </c>
    </row>
    <row r="13">
      <c r="A13" t="str">
        <f>Items!A3</f>
        <v>PK-1002</v>
      </c>
      <c r="B13" t="str">
        <f>Items!B3</f>
        <v>Carton box 400x300x300</v>
      </c>
      <c r="C13">
        <f>Items!D3+Items!E3+SUMIFS(Movements!$G$2:$G$400,Movements!$D$2:$D$400,A13,Movements!$A$2:$A$400,"&lt;"&amp;$C$4)-SUMIFS(Movements!$H$2:$H$400,Movements!$D$2:$D$400,A13,Movements!$A$2:$A$400,"&lt;"&amp;$C$4)</f>
        <v>292</v>
      </c>
      <c r="D13">
        <f>SUMIFS(Movements!$G$2:$G$400,Movements!$D$2:$D$400,A13,Movements!$K$2:$K$400,$C$4,Movements!$B$2:$B$400,"&lt;&gt;TRF")</f>
        <v>24</v>
      </c>
      <c r="E13">
        <f>SUMIFS(Movements!$H$2:$H$400,Movements!$D$2:$D$400,A13,Movements!$K$2:$K$400,$C$4,Movements!$B$2:$B$400,"&lt;&gt;TRF")</f>
        <v>0</v>
      </c>
      <c r="F13">
        <f>C13+SUMIFS(Movements!$G$2:$G$400,Movements!$D$2:$D$400,A13,Movements!$K$2:$K$400,$C$4)-SUMIFS(Movements!$H$2:$H$400,Movements!$D$2:$D$400,A13,Movements!$K$2:$K$400,$C$4)</f>
        <v>316</v>
      </c>
      <c r="G13" t="str">
        <f>INDEX(Balance!$N$4:$N$21,MATCH(A13,Balance!$A$4:$A$21,0))</f>
        <v>OK</v>
      </c>
      <c r="H13">
        <f>COUNTIFS(Movements!$D$2:$D$400,A13,Movements!$K$2:$K$400,$C$4,Movements!$L$2:$L$400,"&lt;&gt;OK")</f>
        <v>0</v>
      </c>
    </row>
    <row r="14">
      <c r="A14" t="str">
        <f>Items!A4</f>
        <v>PK-1003</v>
      </c>
      <c r="B14" t="str">
        <f>Items!B4</f>
        <v>Stretch film 500mm</v>
      </c>
      <c r="C14">
        <f>Items!D4+Items!E4+SUMIFS(Movements!$G$2:$G$400,Movements!$D$2:$D$400,A14,Movements!$A$2:$A$400,"&lt;"&amp;$C$4)-SUMIFS(Movements!$H$2:$H$400,Movements!$D$2:$D$400,A14,Movements!$A$2:$A$400,"&lt;"&amp;$C$4)</f>
        <v>173</v>
      </c>
      <c r="D14">
        <f>SUMIFS(Movements!$G$2:$G$400,Movements!$D$2:$D$400,A14,Movements!$K$2:$K$400,$C$4,Movements!$B$2:$B$400,"&lt;&gt;TRF")</f>
        <v>96</v>
      </c>
      <c r="E14">
        <f>SUMIFS(Movements!$H$2:$H$400,Movements!$D$2:$D$400,A14,Movements!$K$2:$K$400,$C$4,Movements!$B$2:$B$400,"&lt;&gt;TRF")</f>
        <v>70</v>
      </c>
      <c r="F14">
        <f>C14+SUMIFS(Movements!$G$2:$G$400,Movements!$D$2:$D$400,A14,Movements!$K$2:$K$400,$C$4)-SUMIFS(Movements!$H$2:$H$400,Movements!$D$2:$D$400,A14,Movements!$K$2:$K$400,$C$4)</f>
        <v>199</v>
      </c>
      <c r="G14" t="str">
        <f>INDEX(Balance!$N$4:$N$21,MATCH(A14,Balance!$A$4:$A$21,0))</f>
        <v>OK</v>
      </c>
      <c r="H14">
        <f>COUNTIFS(Movements!$D$2:$D$400,A14,Movements!$K$2:$K$400,$C$4,Movements!$L$2:$L$400,"&lt;&gt;OK")</f>
        <v>0</v>
      </c>
    </row>
    <row r="15">
      <c r="A15" t="str">
        <f>Items!A5</f>
        <v>PK-1004</v>
      </c>
      <c r="B15" t="str">
        <f>Items!B5</f>
        <v>Packing tape 48mm</v>
      </c>
      <c r="C15">
        <f>Items!D5+Items!E5+SUMIFS(Movements!$G$2:$G$400,Movements!$D$2:$D$400,A15,Movements!$A$2:$A$400,"&lt;"&amp;$C$4)-SUMIFS(Movements!$H$2:$H$400,Movements!$D$2:$D$400,A15,Movements!$A$2:$A$400,"&lt;"&amp;$C$4)</f>
        <v>342</v>
      </c>
      <c r="D15">
        <f>SUMIFS(Movements!$G$2:$G$400,Movements!$D$2:$D$400,A15,Movements!$K$2:$K$400,$C$4,Movements!$B$2:$B$400,"&lt;&gt;TRF")</f>
        <v>984</v>
      </c>
      <c r="E15">
        <f>SUMIFS(Movements!$H$2:$H$400,Movements!$D$2:$D$400,A15,Movements!$K$2:$K$400,$C$4,Movements!$B$2:$B$400,"&lt;&gt;TRF")</f>
        <v>8</v>
      </c>
      <c r="F15">
        <f>C15+SUMIFS(Movements!$G$2:$G$400,Movements!$D$2:$D$400,A15,Movements!$K$2:$K$400,$C$4)-SUMIFS(Movements!$H$2:$H$400,Movements!$D$2:$D$400,A15,Movements!$K$2:$K$400,$C$4)</f>
        <v>1318</v>
      </c>
      <c r="G15" t="str">
        <f>INDEX(Balance!$N$4:$N$21,MATCH(A15,Balance!$A$4:$A$21,0))</f>
        <v>OK</v>
      </c>
      <c r="H15">
        <f>COUNTIFS(Movements!$D$2:$D$400,A15,Movements!$K$2:$K$400,$C$4,Movements!$L$2:$L$400,"&lt;&gt;OK")</f>
        <v>1</v>
      </c>
    </row>
    <row r="16">
      <c r="A16" t="str">
        <f>Items!A6</f>
        <v>PK-1005</v>
      </c>
      <c r="B16" t="str">
        <f>Items!B6</f>
        <v>Bubble wrap 1m x 50m</v>
      </c>
      <c r="C16">
        <f>Items!D6+Items!E6+SUMIFS(Movements!$G$2:$G$400,Movements!$D$2:$D$400,A16,Movements!$A$2:$A$400,"&lt;"&amp;$C$4)-SUMIFS(Movements!$H$2:$H$400,Movements!$D$2:$D$400,A16,Movements!$A$2:$A$400,"&lt;"&amp;$C$4)</f>
        <v>328</v>
      </c>
      <c r="D16">
        <f>SUMIFS(Movements!$G$2:$G$400,Movements!$D$2:$D$400,A16,Movements!$K$2:$K$400,$C$4,Movements!$B$2:$B$400,"&lt;&gt;TRF")</f>
        <v>0</v>
      </c>
      <c r="E16">
        <f>SUMIFS(Movements!$H$2:$H$400,Movements!$D$2:$D$400,A16,Movements!$K$2:$K$400,$C$4,Movements!$B$2:$B$400,"&lt;&gt;TRF")</f>
        <v>73</v>
      </c>
      <c r="F16">
        <f>C16+SUMIFS(Movements!$G$2:$G$400,Movements!$D$2:$D$400,A16,Movements!$K$2:$K$400,$C$4)-SUMIFS(Movements!$H$2:$H$400,Movements!$D$2:$D$400,A16,Movements!$K$2:$K$400,$C$4)</f>
        <v>255</v>
      </c>
      <c r="G16" t="str">
        <f>INDEX(Balance!$N$4:$N$21,MATCH(A16,Balance!$A$4:$A$21,0))</f>
        <v>OK</v>
      </c>
      <c r="H16">
        <f>COUNTIFS(Movements!$D$2:$D$400,A16,Movements!$K$2:$K$400,$C$4,Movements!$L$2:$L$400,"&lt;&gt;OK")</f>
        <v>0</v>
      </c>
    </row>
    <row r="17">
      <c r="A17" t="str">
        <f>Items!A7</f>
        <v>PL-2001</v>
      </c>
      <c r="B17" t="str">
        <f>Items!B7</f>
        <v>Plastic pallet 1200x1000</v>
      </c>
      <c r="C17">
        <f>Items!D7+Items!E7+SUMIFS(Movements!$G$2:$G$400,Movements!$D$2:$D$400,A17,Movements!$A$2:$A$400,"&lt;"&amp;$C$4)-SUMIFS(Movements!$H$2:$H$400,Movements!$D$2:$D$400,A17,Movements!$A$2:$A$400,"&lt;"&amp;$C$4)</f>
        <v>205</v>
      </c>
      <c r="D17">
        <f>SUMIFS(Movements!$G$2:$G$400,Movements!$D$2:$D$400,A17,Movements!$K$2:$K$400,$C$4,Movements!$B$2:$B$400,"&lt;&gt;TRF")</f>
        <v>60</v>
      </c>
      <c r="E17">
        <f>SUMIFS(Movements!$H$2:$H$400,Movements!$D$2:$D$400,A17,Movements!$K$2:$K$400,$C$4,Movements!$B$2:$B$400,"&lt;&gt;TRF")</f>
        <v>0</v>
      </c>
      <c r="F17">
        <f>C17+SUMIFS(Movements!$G$2:$G$400,Movements!$D$2:$D$400,A17,Movements!$K$2:$K$400,$C$4)-SUMIFS(Movements!$H$2:$H$400,Movements!$D$2:$D$400,A17,Movements!$K$2:$K$400,$C$4)</f>
        <v>245</v>
      </c>
      <c r="G17" t="str">
        <f>INDEX(Balance!$N$4:$N$21,MATCH(A17,Balance!$A$4:$A$21,0))</f>
        <v>OK</v>
      </c>
      <c r="H17">
        <f>COUNTIFS(Movements!$D$2:$D$400,A17,Movements!$K$2:$K$400,$C$4,Movements!$L$2:$L$400,"&lt;&gt;OK")</f>
        <v>1</v>
      </c>
    </row>
    <row r="18">
      <c r="A18" t="str">
        <f>Items!A8</f>
        <v>PL-2002</v>
      </c>
      <c r="B18" t="str">
        <f>Items!B8</f>
        <v>Wooden pallet 1200x800</v>
      </c>
      <c r="C18">
        <f>Items!D8+Items!E8+SUMIFS(Movements!$G$2:$G$400,Movements!$D$2:$D$400,A18,Movements!$A$2:$A$400,"&lt;"&amp;$C$4)-SUMIFS(Movements!$H$2:$H$400,Movements!$D$2:$D$400,A18,Movements!$A$2:$A$400,"&lt;"&amp;$C$4)</f>
        <v>308</v>
      </c>
      <c r="D18">
        <f>SUMIFS(Movements!$G$2:$G$400,Movements!$D$2:$D$400,A18,Movements!$K$2:$K$400,$C$4,Movements!$B$2:$B$400,"&lt;&gt;TRF")</f>
        <v>48</v>
      </c>
      <c r="E18">
        <f>SUMIFS(Movements!$H$2:$H$400,Movements!$D$2:$D$400,A18,Movements!$K$2:$K$400,$C$4,Movements!$B$2:$B$400,"&lt;&gt;TRF")</f>
        <v>34</v>
      </c>
      <c r="F18">
        <f>C18+SUMIFS(Movements!$G$2:$G$400,Movements!$D$2:$D$400,A18,Movements!$K$2:$K$400,$C$4)-SUMIFS(Movements!$H$2:$H$400,Movements!$D$2:$D$400,A18,Movements!$K$2:$K$400,$C$4)</f>
        <v>322</v>
      </c>
      <c r="G18" t="str">
        <f>INDEX(Balance!$N$4:$N$21,MATCH(A18,Balance!$A$4:$A$21,0))</f>
        <v>OK</v>
      </c>
      <c r="H18">
        <f>COUNTIFS(Movements!$D$2:$D$400,A18,Movements!$K$2:$K$400,$C$4,Movements!$L$2:$L$400,"&lt;&gt;OK")</f>
        <v>0</v>
      </c>
    </row>
    <row r="19">
      <c r="A19" t="str">
        <f>Items!A9</f>
        <v>SF-3001</v>
      </c>
      <c r="B19" t="str">
        <f>Items!B9</f>
        <v>Safety gloves (pair)</v>
      </c>
      <c r="C19">
        <f>Items!D9+Items!E9+SUMIFS(Movements!$G$2:$G$400,Movements!$D$2:$D$400,A19,Movements!$A$2:$A$400,"&lt;"&amp;$C$4)-SUMIFS(Movements!$H$2:$H$400,Movements!$D$2:$D$400,A19,Movements!$A$2:$A$400,"&lt;"&amp;$C$4)</f>
        <v>67</v>
      </c>
      <c r="D19">
        <f>SUMIFS(Movements!$G$2:$G$400,Movements!$D$2:$D$400,A19,Movements!$K$2:$K$400,$C$4,Movements!$B$2:$B$400,"&lt;&gt;TRF")</f>
        <v>100</v>
      </c>
      <c r="E19">
        <f>SUMIFS(Movements!$H$2:$H$400,Movements!$D$2:$D$400,A19,Movements!$K$2:$K$400,$C$4,Movements!$B$2:$B$400,"&lt;&gt;TRF")</f>
        <v>44</v>
      </c>
      <c r="F19">
        <f>C19+SUMIFS(Movements!$G$2:$G$400,Movements!$D$2:$D$400,A19,Movements!$K$2:$K$400,$C$4)-SUMIFS(Movements!$H$2:$H$400,Movements!$D$2:$D$400,A19,Movements!$K$2:$K$400,$C$4)</f>
        <v>123</v>
      </c>
      <c r="G19" t="str">
        <f>INDEX(Balance!$N$4:$N$21,MATCH(A19,Balance!$A$4:$A$21,0))</f>
        <v>OK</v>
      </c>
      <c r="H19">
        <f>COUNTIFS(Movements!$D$2:$D$400,A19,Movements!$K$2:$K$400,$C$4,Movements!$L$2:$L$400,"&lt;&gt;OK")</f>
        <v>1</v>
      </c>
    </row>
    <row r="20">
      <c r="A20" t="str">
        <f>Items!A10</f>
        <v>SF-3002</v>
      </c>
      <c r="B20" t="str">
        <f>Items!B10</f>
        <v>Hi-vis vest</v>
      </c>
      <c r="C20">
        <f>Items!D10+Items!E10+SUMIFS(Movements!$G$2:$G$400,Movements!$D$2:$D$400,A20,Movements!$A$2:$A$400,"&lt;"&amp;$C$4)-SUMIFS(Movements!$H$2:$H$400,Movements!$D$2:$D$400,A20,Movements!$A$2:$A$400,"&lt;"&amp;$C$4)</f>
        <v>280</v>
      </c>
      <c r="D20">
        <f>SUMIFS(Movements!$G$2:$G$400,Movements!$D$2:$D$400,A20,Movements!$K$2:$K$400,$C$4,Movements!$B$2:$B$400,"&lt;&gt;TRF")</f>
        <v>0</v>
      </c>
      <c r="E20">
        <f>SUMIFS(Movements!$H$2:$H$400,Movements!$D$2:$D$400,A20,Movements!$K$2:$K$400,$C$4,Movements!$B$2:$B$400,"&lt;&gt;TRF")</f>
        <v>66</v>
      </c>
      <c r="F20">
        <f>C20+SUMIFS(Movements!$G$2:$G$400,Movements!$D$2:$D$400,A20,Movements!$K$2:$K$400,$C$4)-SUMIFS(Movements!$H$2:$H$400,Movements!$D$2:$D$400,A20,Movements!$K$2:$K$400,$C$4)</f>
        <v>214</v>
      </c>
      <c r="G20" t="str">
        <f>INDEX(Balance!$N$4:$N$21,MATCH(A20,Balance!$A$4:$A$21,0))</f>
        <v>OK</v>
      </c>
      <c r="H20">
        <f>COUNTIFS(Movements!$D$2:$D$400,A20,Movements!$K$2:$K$400,$C$4,Movements!$L$2:$L$400,"&lt;&gt;OK")</f>
        <v>0</v>
      </c>
    </row>
    <row r="21">
      <c r="A21" t="str">
        <f>Items!A11</f>
        <v>LB-4001</v>
      </c>
      <c r="B21" t="str">
        <f>Items!B11</f>
        <v>Thermal label 100x150</v>
      </c>
      <c r="C21">
        <f>Items!D11+Items!E11+SUMIFS(Movements!$G$2:$G$400,Movements!$D$2:$D$400,A21,Movements!$A$2:$A$400,"&lt;"&amp;$C$4)-SUMIFS(Movements!$H$2:$H$400,Movements!$D$2:$D$400,A21,Movements!$A$2:$A$400,"&lt;"&amp;$C$4)</f>
        <v>103</v>
      </c>
      <c r="D21">
        <f>SUMIFS(Movements!$G$2:$G$400,Movements!$D$2:$D$400,A21,Movements!$K$2:$K$400,$C$4,Movements!$B$2:$B$400,"&lt;&gt;TRF")</f>
        <v>0</v>
      </c>
      <c r="E21">
        <f>SUMIFS(Movements!$H$2:$H$400,Movements!$D$2:$D$400,A21,Movements!$K$2:$K$400,$C$4,Movements!$B$2:$B$400,"&lt;&gt;TRF")</f>
        <v>3</v>
      </c>
      <c r="F21">
        <f>C21+SUMIFS(Movements!$G$2:$G$400,Movements!$D$2:$D$400,A21,Movements!$K$2:$K$400,$C$4)-SUMIFS(Movements!$H$2:$H$400,Movements!$D$2:$D$400,A21,Movements!$K$2:$K$400,$C$4)</f>
        <v>100</v>
      </c>
      <c r="G21" t="str">
        <f>INDEX(Balance!$N$4:$N$21,MATCH(A21,Balance!$A$4:$A$21,0))</f>
        <v>OK</v>
      </c>
      <c r="H21">
        <f>COUNTIFS(Movements!$D$2:$D$400,A21,Movements!$K$2:$K$400,$C$4,Movements!$L$2:$L$400,"&lt;&gt;OK")</f>
        <v>0</v>
      </c>
    </row>
    <row r="22">
      <c r="A22" t="str">
        <f>Items!A12</f>
        <v>LB-4002</v>
      </c>
      <c r="B22" t="str">
        <f>Items!B12</f>
        <v>Barcode ribbon 110mm</v>
      </c>
      <c r="C22">
        <f>Items!D12+Items!E12+SUMIFS(Movements!$G$2:$G$400,Movements!$D$2:$D$400,A22,Movements!$A$2:$A$400,"&lt;"&amp;$C$4)-SUMIFS(Movements!$H$2:$H$400,Movements!$D$2:$D$400,A22,Movements!$A$2:$A$400,"&lt;"&amp;$C$4)</f>
        <v>176</v>
      </c>
      <c r="D22">
        <f>SUMIFS(Movements!$G$2:$G$400,Movements!$D$2:$D$400,A22,Movements!$K$2:$K$400,$C$4,Movements!$B$2:$B$400,"&lt;&gt;TRF")</f>
        <v>0</v>
      </c>
      <c r="E22">
        <f>SUMIFS(Movements!$H$2:$H$400,Movements!$D$2:$D$400,A22,Movements!$K$2:$K$400,$C$4,Movements!$B$2:$B$400,"&lt;&gt;TRF")</f>
        <v>0</v>
      </c>
      <c r="F22">
        <f>C22+SUMIFS(Movements!$G$2:$G$400,Movements!$D$2:$D$400,A22,Movements!$K$2:$K$400,$C$4)-SUMIFS(Movements!$H$2:$H$400,Movements!$D$2:$D$400,A22,Movements!$K$2:$K$400,$C$4)</f>
        <v>176</v>
      </c>
      <c r="G22" t="str">
        <f>INDEX(Balance!$N$4:$N$21,MATCH(A22,Balance!$A$4:$A$21,0))</f>
        <v>OK</v>
      </c>
      <c r="H22">
        <f>COUNTIFS(Movements!$D$2:$D$400,A22,Movements!$K$2:$K$400,$C$4,Movements!$L$2:$L$400,"&lt;&gt;OK")</f>
        <v>0</v>
      </c>
    </row>
    <row r="23">
      <c r="A23" t="str">
        <f>Items!A13</f>
        <v>CL-5001</v>
      </c>
      <c r="B23" t="str">
        <f>Items!B13</f>
        <v>Floor cleaner 5L</v>
      </c>
      <c r="C23">
        <f>Items!D13+Items!E13+SUMIFS(Movements!$G$2:$G$400,Movements!$D$2:$D$400,A23,Movements!$A$2:$A$400,"&lt;"&amp;$C$4)-SUMIFS(Movements!$H$2:$H$400,Movements!$D$2:$D$400,A23,Movements!$A$2:$A$400,"&lt;"&amp;$C$4)</f>
        <v>282</v>
      </c>
      <c r="D23">
        <f>SUMIFS(Movements!$G$2:$G$400,Movements!$D$2:$D$400,A23,Movements!$K$2:$K$400,$C$4,Movements!$B$2:$B$400,"&lt;&gt;TRF")</f>
        <v>36</v>
      </c>
      <c r="E23">
        <f>SUMIFS(Movements!$H$2:$H$400,Movements!$D$2:$D$400,A23,Movements!$K$2:$K$400,$C$4,Movements!$B$2:$B$400,"&lt;&gt;TRF")</f>
        <v>28</v>
      </c>
      <c r="F23">
        <f>C23+SUMIFS(Movements!$G$2:$G$400,Movements!$D$2:$D$400,A23,Movements!$K$2:$K$400,$C$4)-SUMIFS(Movements!$H$2:$H$400,Movements!$D$2:$D$400,A23,Movements!$K$2:$K$400,$C$4)</f>
        <v>290</v>
      </c>
      <c r="G23" t="str">
        <f>INDEX(Balance!$N$4:$N$21,MATCH(A23,Balance!$A$4:$A$21,0))</f>
        <v>OK</v>
      </c>
      <c r="H23">
        <f>COUNTIFS(Movements!$D$2:$D$400,A23,Movements!$K$2:$K$400,$C$4,Movements!$L$2:$L$400,"&lt;&gt;OK")</f>
        <v>0</v>
      </c>
    </row>
    <row r="24">
      <c r="A24" t="str">
        <f>Items!A14</f>
        <v>CL-5002</v>
      </c>
      <c r="B24" t="str">
        <f>Items!B14</f>
        <v>Industrial wipes</v>
      </c>
      <c r="C24">
        <f>Items!D14+Items!E14+SUMIFS(Movements!$G$2:$G$400,Movements!$D$2:$D$400,A24,Movements!$A$2:$A$400,"&lt;"&amp;$C$4)-SUMIFS(Movements!$H$2:$H$400,Movements!$D$2:$D$400,A24,Movements!$A$2:$A$400,"&lt;"&amp;$C$4)</f>
        <v>357</v>
      </c>
      <c r="D24">
        <f>SUMIFS(Movements!$G$2:$G$400,Movements!$D$2:$D$400,A24,Movements!$K$2:$K$400,$C$4,Movements!$B$2:$B$400,"&lt;&gt;TRF")</f>
        <v>0</v>
      </c>
      <c r="E24">
        <f>SUMIFS(Movements!$H$2:$H$400,Movements!$D$2:$D$400,A24,Movements!$K$2:$K$400,$C$4,Movements!$B$2:$B$400,"&lt;&gt;TRF")</f>
        <v>24</v>
      </c>
      <c r="F24">
        <f>C24+SUMIFS(Movements!$G$2:$G$400,Movements!$D$2:$D$400,A24,Movements!$K$2:$K$400,$C$4)-SUMIFS(Movements!$H$2:$H$400,Movements!$D$2:$D$400,A24,Movements!$K$2:$K$400,$C$4)</f>
        <v>333</v>
      </c>
      <c r="G24" t="str">
        <f>INDEX(Balance!$N$4:$N$21,MATCH(A24,Balance!$A$4:$A$21,0))</f>
        <v>OK</v>
      </c>
      <c r="H24">
        <f>COUNTIFS(Movements!$D$2:$D$400,A24,Movements!$K$2:$K$400,$C$4,Movements!$L$2:$L$400,"&lt;&gt;OK")</f>
        <v>0</v>
      </c>
    </row>
    <row r="25">
      <c r="A25" t="str">
        <f>Items!A15</f>
        <v>HW-6001</v>
      </c>
      <c r="B25" t="str">
        <f>Items!B15</f>
        <v>Cable ties 300mm (100)</v>
      </c>
      <c r="C25">
        <f>Items!D15+Items!E15+SUMIFS(Movements!$G$2:$G$400,Movements!$D$2:$D$400,A25,Movements!$A$2:$A$400,"&lt;"&amp;$C$4)-SUMIFS(Movements!$H$2:$H$400,Movements!$D$2:$D$400,A25,Movements!$A$2:$A$400,"&lt;"&amp;$C$4)</f>
        <v>254</v>
      </c>
      <c r="D25">
        <f>SUMIFS(Movements!$G$2:$G$400,Movements!$D$2:$D$400,A25,Movements!$K$2:$K$400,$C$4,Movements!$B$2:$B$400,"&lt;&gt;TRF")</f>
        <v>0</v>
      </c>
      <c r="E25">
        <f>SUMIFS(Movements!$H$2:$H$400,Movements!$D$2:$D$400,A25,Movements!$K$2:$K$400,$C$4,Movements!$B$2:$B$400,"&lt;&gt;TRF")</f>
        <v>0</v>
      </c>
      <c r="F25">
        <f>C25+SUMIFS(Movements!$G$2:$G$400,Movements!$D$2:$D$400,A25,Movements!$K$2:$K$400,$C$4)-SUMIFS(Movements!$H$2:$H$400,Movements!$D$2:$D$400,A25,Movements!$K$2:$K$400,$C$4)</f>
        <v>254</v>
      </c>
      <c r="G25" t="str">
        <f>INDEX(Balance!$N$4:$N$21,MATCH(A25,Balance!$A$4:$A$21,0))</f>
        <v>OK</v>
      </c>
      <c r="H25">
        <f>COUNTIFS(Movements!$D$2:$D$400,A25,Movements!$K$2:$K$400,$C$4,Movements!$L$2:$L$400,"&lt;&gt;OK")</f>
        <v>0</v>
      </c>
    </row>
    <row r="26">
      <c r="A26" t="str">
        <f>Items!A16</f>
        <v>HW-6002</v>
      </c>
      <c r="B26" t="str">
        <f>Items!B16</f>
        <v>Strapping band 12mm</v>
      </c>
      <c r="C26">
        <f>Items!D16+Items!E16+SUMIFS(Movements!$G$2:$G$400,Movements!$D$2:$D$400,A26,Movements!$A$2:$A$400,"&lt;"&amp;$C$4)-SUMIFS(Movements!$H$2:$H$400,Movements!$D$2:$D$400,A26,Movements!$A$2:$A$400,"&lt;"&amp;$C$4)</f>
        <v>449</v>
      </c>
      <c r="D26">
        <f>SUMIFS(Movements!$G$2:$G$400,Movements!$D$2:$D$400,A26,Movements!$K$2:$K$400,$C$4,Movements!$B$2:$B$400,"&lt;&gt;TRF")</f>
        <v>100</v>
      </c>
      <c r="E26">
        <f>SUMIFS(Movements!$H$2:$H$400,Movements!$D$2:$D$400,A26,Movements!$K$2:$K$400,$C$4,Movements!$B$2:$B$400,"&lt;&gt;TRF")</f>
        <v>25</v>
      </c>
      <c r="F26">
        <f>C26+SUMIFS(Movements!$G$2:$G$400,Movements!$D$2:$D$400,A26,Movements!$K$2:$K$400,$C$4)-SUMIFS(Movements!$H$2:$H$400,Movements!$D$2:$D$400,A26,Movements!$K$2:$K$400,$C$4)</f>
        <v>524</v>
      </c>
      <c r="G26" t="str">
        <f>INDEX(Balance!$N$4:$N$21,MATCH(A26,Balance!$A$4:$A$21,0))</f>
        <v>OK</v>
      </c>
      <c r="H26">
        <f>COUNTIFS(Movements!$D$2:$D$400,A26,Movements!$K$2:$K$400,$C$4,Movements!$L$2:$L$400,"&lt;&gt;OK")</f>
        <v>0</v>
      </c>
    </row>
    <row r="27">
      <c r="A27" t="str">
        <f>Items!A17</f>
        <v>HW-6003</v>
      </c>
      <c r="B27" t="str">
        <f>Items!B17</f>
        <v>Strapping seals (1000)</v>
      </c>
      <c r="C27">
        <f>Items!D17+Items!E17+SUMIFS(Movements!$G$2:$G$400,Movements!$D$2:$D$400,A27,Movements!$A$2:$A$400,"&lt;"&amp;$C$4)-SUMIFS(Movements!$H$2:$H$400,Movements!$D$2:$D$400,A27,Movements!$A$2:$A$400,"&lt;"&amp;$C$4)</f>
        <v>168</v>
      </c>
      <c r="D27">
        <f>SUMIFS(Movements!$G$2:$G$400,Movements!$D$2:$D$400,A27,Movements!$K$2:$K$400,$C$4,Movements!$B$2:$B$400,"&lt;&gt;TRF")</f>
        <v>100</v>
      </c>
      <c r="E27">
        <f>SUMIFS(Movements!$H$2:$H$400,Movements!$D$2:$D$400,A27,Movements!$K$2:$K$400,$C$4,Movements!$B$2:$B$400,"&lt;&gt;TRF")</f>
        <v>24</v>
      </c>
      <c r="F27">
        <f>C27+SUMIFS(Movements!$G$2:$G$400,Movements!$D$2:$D$400,A27,Movements!$K$2:$K$400,$C$4)-SUMIFS(Movements!$H$2:$H$400,Movements!$D$2:$D$400,A27,Movements!$K$2:$K$400,$C$4)</f>
        <v>244</v>
      </c>
      <c r="G27" t="str">
        <f>INDEX(Balance!$N$4:$N$21,MATCH(A27,Balance!$A$4:$A$21,0))</f>
        <v>OK</v>
      </c>
      <c r="H27">
        <f>COUNTIFS(Movements!$D$2:$D$400,A27,Movements!$K$2:$K$400,$C$4,Movements!$L$2:$L$400,"&lt;&gt;OK")</f>
        <v>0</v>
      </c>
    </row>
    <row r="28">
      <c r="A28" t="str">
        <f>Items!A18</f>
        <v>ST-7001</v>
      </c>
      <c r="B28" t="str">
        <f>Items!B18</f>
        <v>Shelf bin small</v>
      </c>
      <c r="C28">
        <f>Items!D18+Items!E18+SUMIFS(Movements!$G$2:$G$400,Movements!$D$2:$D$400,A28,Movements!$A$2:$A$400,"&lt;"&amp;$C$4)-SUMIFS(Movements!$H$2:$H$400,Movements!$D$2:$D$400,A28,Movements!$A$2:$A$400,"&lt;"&amp;$C$4)</f>
        <v>404</v>
      </c>
      <c r="D28">
        <f>SUMIFS(Movements!$G$2:$G$400,Movements!$D$2:$D$400,A28,Movements!$K$2:$K$400,$C$4,Movements!$B$2:$B$400,"&lt;&gt;TRF")</f>
        <v>48</v>
      </c>
      <c r="E28">
        <f>SUMIFS(Movements!$H$2:$H$400,Movements!$D$2:$D$400,A28,Movements!$K$2:$K$400,$C$4,Movements!$B$2:$B$400,"&lt;&gt;TRF")</f>
        <v>131</v>
      </c>
      <c r="F28">
        <f>C28+SUMIFS(Movements!$G$2:$G$400,Movements!$D$2:$D$400,A28,Movements!$K$2:$K$400,$C$4)-SUMIFS(Movements!$H$2:$H$400,Movements!$D$2:$D$400,A28,Movements!$K$2:$K$400,$C$4)</f>
        <v>321</v>
      </c>
      <c r="G28" t="str">
        <f>INDEX(Balance!$N$4:$N$21,MATCH(A28,Balance!$A$4:$A$21,0))</f>
        <v>OK</v>
      </c>
      <c r="H28">
        <f>COUNTIFS(Movements!$D$2:$D$400,A28,Movements!$K$2:$K$400,$C$4,Movements!$L$2:$L$400,"&lt;&gt;OK")</f>
        <v>2</v>
      </c>
    </row>
    <row r="29">
      <c r="A29" t="str">
        <f>Items!A19</f>
        <v>ST-7002</v>
      </c>
      <c r="B29" t="str">
        <f>Items!B19</f>
        <v>Shelf bin large</v>
      </c>
      <c r="C29">
        <f>Items!D19+Items!E19+SUMIFS(Movements!$G$2:$G$400,Movements!$D$2:$D$400,A29,Movements!$A$2:$A$400,"&lt;"&amp;$C$4)-SUMIFS(Movements!$H$2:$H$400,Movements!$D$2:$D$400,A29,Movements!$A$2:$A$400,"&lt;"&amp;$C$4)</f>
        <v>143</v>
      </c>
      <c r="D29">
        <f>SUMIFS(Movements!$G$2:$G$400,Movements!$D$2:$D$400,A29,Movements!$K$2:$K$400,$C$4,Movements!$B$2:$B$400,"&lt;&gt;TRF")</f>
        <v>0</v>
      </c>
      <c r="E29">
        <f>SUMIFS(Movements!$H$2:$H$400,Movements!$D$2:$D$400,A29,Movements!$K$2:$K$400,$C$4,Movements!$B$2:$B$400,"&lt;&gt;TRF")</f>
        <v>25</v>
      </c>
      <c r="F29">
        <f>C29+SUMIFS(Movements!$G$2:$G$400,Movements!$D$2:$D$400,A29,Movements!$K$2:$K$400,$C$4)-SUMIFS(Movements!$H$2:$H$400,Movements!$D$2:$D$400,A29,Movements!$K$2:$K$400,$C$4)</f>
        <v>118</v>
      </c>
      <c r="G29" t="str">
        <f>INDEX(Balance!$N$4:$N$21,MATCH(A29,Balance!$A$4:$A$21,0))</f>
        <v>NEGATIVE</v>
      </c>
      <c r="H29">
        <f>COUNTIFS(Movements!$D$2:$D$400,A29,Movements!$K$2:$K$400,$C$4,Movements!$L$2:$L$400,"&lt;&gt;OK")</f>
        <v>1</v>
      </c>
    </row>
    <row r="31">
      <c r="A31" s="10" t="inlineStr">
        <is>
          <t>Discrepancies this week - chase the paperwork</t>
        </is>
      </c>
    </row>
    <row r="32">
      <c r="A32" s="1" t="inlineStr">
        <is>
          <t>#</t>
        </is>
      </c>
      <c r="B32" s="1" t="inlineStr">
        <is>
          <t>Date</t>
        </is>
      </c>
      <c r="C32" s="1" t="inlineStr">
        <is>
          <t>Doc No</t>
        </is>
      </c>
      <c r="D32" s="1" t="inlineStr">
        <is>
          <t>SKU</t>
        </is>
      </c>
      <c r="E32" s="1" t="inlineStr">
        <is>
          <t>Location</t>
        </is>
      </c>
      <c r="F32" s="1" t="inlineStr">
        <is>
          <t>Qty In</t>
        </is>
      </c>
      <c r="G32" s="1" t="inlineStr">
        <is>
          <t>Qty Out</t>
        </is>
      </c>
      <c r="H32" s="1" t="inlineStr">
        <is>
          <t>Flag</t>
        </is>
      </c>
      <c r="I32" s="1" t="inlineStr">
        <is>
          <t>Comment / action</t>
        </is>
      </c>
    </row>
    <row r="33">
      <c r="A33">
        <f>IF(ISNA(MATCH(1,Movements!$N$2:$N$400,0)),"",1)</f>
        <v>1</v>
      </c>
      <c r="B33" s="11">
        <f>IF($A33="","",INDEX(Movements!$A$2:$A$400,MATCH(1,Movements!$N$2:$N$400,0)))</f>
        <v>46316.0</v>
      </c>
      <c r="C33" t="str">
        <f>IF($A33="","",IFERROR(INDEX(Movements!$C$2:$C$400,MATCH(1,Movements!$N$2:$N$400,0))&amp;"",""))</f>
        <v>DN-8829</v>
      </c>
      <c r="D33" t="str">
        <f>IF($A33="","",IFERROR(INDEX(Movements!$D$2:$D$400,MATCH(1,Movements!$N$2:$N$400,0))&amp;"",""))</f>
        <v>ST-7001</v>
      </c>
      <c r="E33" t="str">
        <f>IF($A33="","",IFERROR(INDEX(Movements!$F$2:$F$400,MATCH(1,Movements!$N$2:$N$400,0))&amp;"",""))</f>
        <v>Main</v>
      </c>
      <c r="F33" s="3">
        <f>IF($A33="","",IFERROR(INDEX(Movements!$G$2:$G$400,MATCH(1,Movements!$N$2:$N$400,0)),""))</f>
        <v>0</v>
      </c>
      <c r="G33" s="3">
        <f>IF($A33="","",IFERROR(INDEX(Movements!$H$2:$H$400,MATCH(1,Movements!$N$2:$N$400,0)),""))</f>
        <v>38</v>
      </c>
      <c r="H33" t="str">
        <f>IF($A33="","",IFERROR(INDEX(Movements!$L$2:$L$400,MATCH(1,Movements!$N$2:$N$400,0))&amp;"",""))</f>
        <v>DUPLICATE ENTRY</v>
      </c>
      <c r="I33">
        <f>IF($A33="","",IFERROR(INDEX(Movements!$M$2:$M$400,MATCH(1,Movements!$N$2:$N$400,0))&amp;"",""))</f>
      </c>
    </row>
    <row r="34">
      <c r="A34">
        <f>IF(ISNA(MATCH(2,Movements!$N$2:$N$400,0)),"",2)</f>
        <v>2</v>
      </c>
      <c r="B34" s="11">
        <f>IF($A34="","",INDEX(Movements!$A$2:$A$400,MATCH(2,Movements!$N$2:$N$400,0)))</f>
        <v>46316.0</v>
      </c>
      <c r="C34" t="str">
        <f>IF($A34="","",IFERROR(INDEX(Movements!$C$2:$C$400,MATCH(2,Movements!$N$2:$N$400,0))&amp;"",""))</f>
        <v>DN-8829</v>
      </c>
      <c r="D34" t="str">
        <f>IF($A34="","",IFERROR(INDEX(Movements!$D$2:$D$400,MATCH(2,Movements!$N$2:$N$400,0))&amp;"",""))</f>
        <v>ST-7001</v>
      </c>
      <c r="E34" t="str">
        <f>IF($A34="","",IFERROR(INDEX(Movements!$F$2:$F$400,MATCH(2,Movements!$N$2:$N$400,0))&amp;"",""))</f>
        <v>Main</v>
      </c>
      <c r="F34" s="3">
        <f>IF($A34="","",IFERROR(INDEX(Movements!$G$2:$G$400,MATCH(2,Movements!$N$2:$N$400,0)),""))</f>
        <v>0</v>
      </c>
      <c r="G34" s="3">
        <f>IF($A34="","",IFERROR(INDEX(Movements!$H$2:$H$400,MATCH(2,Movements!$N$2:$N$400,0)),""))</f>
        <v>38</v>
      </c>
      <c r="H34" t="str">
        <f>IF($A34="","",IFERROR(INDEX(Movements!$L$2:$L$400,MATCH(2,Movements!$N$2:$N$400,0))&amp;"",""))</f>
        <v>DUPLICATE ENTRY</v>
      </c>
      <c r="I34" t="str">
        <f>IF($A34="","",IFERROR(INDEX(Movements!$M$2:$M$400,MATCH(2,Movements!$N$2:$N$400,0))&amp;"",""))</f>
        <v>Re-keyed from scan</v>
      </c>
    </row>
    <row r="35">
      <c r="A35">
        <f>IF(ISNA(MATCH(3,Movements!$N$2:$N$400,0)),"",3)</f>
        <v>3</v>
      </c>
      <c r="B35" s="11">
        <f>IF($A35="","",INDEX(Movements!$A$2:$A$400,MATCH(3,Movements!$N$2:$N$400,0)))</f>
        <v>46317.0</v>
      </c>
      <c r="C35">
        <f>IF($A35="","",IFERROR(INDEX(Movements!$C$2:$C$400,MATCH(3,Movements!$N$2:$N$400,0))&amp;"",""))</f>
      </c>
      <c r="D35" t="str">
        <f>IF($A35="","",IFERROR(INDEX(Movements!$D$2:$D$400,MATCH(3,Movements!$N$2:$N$400,0))&amp;"",""))</f>
        <v>SF-3001</v>
      </c>
      <c r="E35" t="str">
        <f>IF($A35="","",IFERROR(INDEX(Movements!$F$2:$F$400,MATCH(3,Movements!$N$2:$N$400,0))&amp;"",""))</f>
        <v>Main</v>
      </c>
      <c r="F35" s="3">
        <f>IF($A35="","",IFERROR(INDEX(Movements!$G$2:$G$400,MATCH(3,Movements!$N$2:$N$400,0)),""))</f>
        <v>0</v>
      </c>
      <c r="G35" s="3">
        <f>IF($A35="","",IFERROR(INDEX(Movements!$H$2:$H$400,MATCH(3,Movements!$N$2:$N$400,0)),""))</f>
        <v>12</v>
      </c>
      <c r="H35" t="str">
        <f>IF($A35="","",IFERROR(INDEX(Movements!$L$2:$L$400,MATCH(3,Movements!$N$2:$N$400,0))&amp;"",""))</f>
        <v>MISSING DOC NO</v>
      </c>
      <c r="I35" t="str">
        <f>IF($A35="","",IFERROR(INDEX(Movements!$M$2:$M$400,MATCH(3,Movements!$N$2:$N$400,0))&amp;"",""))</f>
        <v>Doc no. missing on slip</v>
      </c>
    </row>
    <row r="36">
      <c r="A36">
        <f>IF(ISNA(MATCH(4,Movements!$N$2:$N$400,0)),"",4)</f>
        <v>4</v>
      </c>
      <c r="B36" s="11">
        <f>IF($A36="","",INDEX(Movements!$A$2:$A$400,MATCH(4,Movements!$N$2:$N$400,0)))</f>
        <v>46317.0</v>
      </c>
      <c r="C36" t="str">
        <f>IF($A36="","",IFERROR(INDEX(Movements!$C$2:$C$400,MATCH(4,Movements!$N$2:$N$400,0))&amp;"",""))</f>
        <v>DN-8999</v>
      </c>
      <c r="D36" t="str">
        <f>IF($A36="","",IFERROR(INDEX(Movements!$D$2:$D$400,MATCH(4,Movements!$N$2:$N$400,0))&amp;"",""))</f>
        <v>ST-7002</v>
      </c>
      <c r="E36" t="str">
        <f>IF($A36="","",IFERROR(INDEX(Movements!$F$2:$F$400,MATCH(4,Movements!$N$2:$N$400,0))&amp;"",""))</f>
        <v>Annex</v>
      </c>
      <c r="F36" s="3">
        <f>IF($A36="","",IFERROR(INDEX(Movements!$G$2:$G$400,MATCH(4,Movements!$N$2:$N$400,0)),""))</f>
        <v>0</v>
      </c>
      <c r="G36" s="3">
        <f>IF($A36="","",IFERROR(INDEX(Movements!$H$2:$H$400,MATCH(4,Movements!$N$2:$N$400,0)),""))</f>
        <v>25</v>
      </c>
      <c r="H36" t="str">
        <f>IF($A36="","",IFERROR(INDEX(Movements!$L$2:$L$400,MATCH(4,Movements!$N$2:$N$400,0))&amp;"",""))</f>
        <v>NEGATIVE BALANCE</v>
      </c>
      <c r="I36">
        <f>IF($A36="","",IFERROR(INDEX(Movements!$M$2:$M$400,MATCH(4,Movements!$N$2:$N$400,0))&amp;"",""))</f>
      </c>
    </row>
    <row r="37">
      <c r="A37">
        <f>IF(ISNA(MATCH(5,Movements!$N$2:$N$400,0)),"",5)</f>
        <v>5</v>
      </c>
      <c r="B37" s="11">
        <f>IF($A37="","",INDEX(Movements!$A$2:$A$400,MATCH(5,Movements!$N$2:$N$400,0)))</f>
        <v>46318.0</v>
      </c>
      <c r="C37" t="str">
        <f>IF($A37="","",IFERROR(INDEX(Movements!$C$2:$C$400,MATCH(5,Movements!$N$2:$N$400,0))&amp;"",""))</f>
        <v>GRN-5199</v>
      </c>
      <c r="D37" t="str">
        <f>IF($A37="","",IFERROR(INDEX(Movements!$D$2:$D$400,MATCH(5,Movements!$N$2:$N$400,0))&amp;"",""))</f>
        <v>PK-1004</v>
      </c>
      <c r="E37" t="str">
        <f>IF($A37="","",IFERROR(INDEX(Movements!$F$2:$F$400,MATCH(5,Movements!$N$2:$N$400,0))&amp;"",""))</f>
        <v>Main</v>
      </c>
      <c r="F37" s="3">
        <f>IF($A37="","",IFERROR(INDEX(Movements!$G$2:$G$400,MATCH(5,Movements!$N$2:$N$400,0)),""))</f>
        <v>960</v>
      </c>
      <c r="G37" s="3">
        <f>IF($A37="","",IFERROR(INDEX(Movements!$H$2:$H$400,MATCH(5,Movements!$N$2:$N$400,0)),""))</f>
        <v>0</v>
      </c>
      <c r="H37" t="str">
        <f>IF($A37="","",IFERROR(INDEX(Movements!$L$2:$L$400,MATCH(5,Movements!$N$2:$N$400,0))&amp;"",""))</f>
        <v>UNUSUAL QTY</v>
      </c>
      <c r="I37" t="str">
        <f>IF($A37="","",IFERROR(INDEX(Movements!$M$2:$M$400,MATCH(5,Movements!$N$2:$N$400,0))&amp;"",""))</f>
        <v>Receipt shows 96?</v>
      </c>
    </row>
    <row r="38">
      <c r="A38">
        <f>IF(ISNA(MATCH(6,Movements!$N$2:$N$400,0)),"",6)</f>
        <v>6</v>
      </c>
      <c r="B38" s="11">
        <f>IF($A38="","",INDEX(Movements!$A$2:$A$400,MATCH(6,Movements!$N$2:$N$400,0)))</f>
        <v>46319.0</v>
      </c>
      <c r="C38" t="str">
        <f>IF($A38="","",IFERROR(INDEX(Movements!$C$2:$C$400,MATCH(6,Movements!$N$2:$N$400,0))&amp;"",""))</f>
        <v>TRF-311</v>
      </c>
      <c r="D38" t="str">
        <f>IF($A38="","",IFERROR(INDEX(Movements!$D$2:$D$400,MATCH(6,Movements!$N$2:$N$400,0))&amp;"",""))</f>
        <v>PL-2001</v>
      </c>
      <c r="E38" t="str">
        <f>IF($A38="","",IFERROR(INDEX(Movements!$F$2:$F$400,MATCH(6,Movements!$N$2:$N$400,0))&amp;"",""))</f>
        <v>Main</v>
      </c>
      <c r="F38" s="3">
        <f>IF($A38="","",IFERROR(INDEX(Movements!$G$2:$G$400,MATCH(6,Movements!$N$2:$N$400,0)),""))</f>
        <v>0</v>
      </c>
      <c r="G38" s="3">
        <f>IF($A38="","",IFERROR(INDEX(Movements!$H$2:$H$400,MATCH(6,Movements!$N$2:$N$400,0)),""))</f>
        <v>20</v>
      </c>
      <c r="H38" t="str">
        <f>IF($A38="","",IFERROR(INDEX(Movements!$L$2:$L$400,MATCH(6,Movements!$N$2:$N$400,0))&amp;"",""))</f>
        <v>TRANSFER UNMATCHED</v>
      </c>
      <c r="I38" t="str">
        <f>IF($A38="","",IFERROR(INDEX(Movements!$M$2:$M$400,MATCH(6,Movements!$N$2:$N$400,0))&amp;"",""))</f>
        <v>To Annex</v>
      </c>
    </row>
    <row r="39">
      <c r="A39">
        <f>IF(ISNA(MATCH(7,Movements!$N$2:$N$400,0)),"",7)</f>
        <v>7</v>
      </c>
      <c r="B39" s="11">
        <f>IF($A39="","",INDEX(Movements!$A$2:$A$400,MATCH(7,Movements!$N$2:$N$400,0)))</f>
        <v>46319.0</v>
      </c>
      <c r="C39" t="str">
        <f>IF($A39="","",IFERROR(INDEX(Movements!$C$2:$C$400,MATCH(7,Movements!$N$2:$N$400,0))&amp;"",""))</f>
        <v>DN-9001</v>
      </c>
      <c r="D39" t="str">
        <f>IF($A39="","",IFERROR(INDEX(Movements!$D$2:$D$400,MATCH(7,Movements!$N$2:$N$400,0))&amp;"",""))</f>
        <v>XX-9999</v>
      </c>
      <c r="E39" t="str">
        <f>IF($A39="","",IFERROR(INDEX(Movements!$F$2:$F$400,MATCH(7,Movements!$N$2:$N$400,0))&amp;"",""))</f>
        <v>Main</v>
      </c>
      <c r="F39" s="3">
        <f>IF($A39="","",IFERROR(INDEX(Movements!$G$2:$G$400,MATCH(7,Movements!$N$2:$N$400,0)),""))</f>
        <v>0</v>
      </c>
      <c r="G39" s="3">
        <f>IF($A39="","",IFERROR(INDEX(Movements!$H$2:$H$400,MATCH(7,Movements!$N$2:$N$400,0)),""))</f>
        <v>5</v>
      </c>
      <c r="H39" t="str">
        <f>IF($A39="","",IFERROR(INDEX(Movements!$L$2:$L$400,MATCH(7,Movements!$N$2:$N$400,0))&amp;"",""))</f>
        <v>UNKNOWN SKU</v>
      </c>
      <c r="I39" t="str">
        <f>IF($A39="","",IFERROR(INDEX(Movements!$M$2:$M$400,MATCH(7,Movements!$N$2:$N$400,0))&amp;"",""))</f>
        <v>SKU not on item list</v>
      </c>
    </row>
    <row r="40">
      <c r="A40">
        <f>IF(ISNA(MATCH(8,Movements!$N$2:$N$400,0)),"",8)</f>
      </c>
      <c r="B40" s="11">
        <f>IF($A40="","",INDEX(Movements!$A$2:$A$400,MATCH(8,Movements!$N$2:$N$400,0)))</f>
      </c>
      <c r="C40">
        <f>IF($A40="","",IFERROR(INDEX(Movements!$C$2:$C$400,MATCH(8,Movements!$N$2:$N$400,0))&amp;"",""))</f>
      </c>
      <c r="D40">
        <f>IF($A40="","",IFERROR(INDEX(Movements!$D$2:$D$400,MATCH(8,Movements!$N$2:$N$400,0))&amp;"",""))</f>
      </c>
      <c r="E40">
        <f>IF($A40="","",IFERROR(INDEX(Movements!$F$2:$F$400,MATCH(8,Movements!$N$2:$N$400,0))&amp;"",""))</f>
      </c>
      <c r="F40" s="3">
        <f>IF($A40="","",IFERROR(INDEX(Movements!$G$2:$G$400,MATCH(8,Movements!$N$2:$N$400,0)),""))</f>
      </c>
      <c r="G40" s="3">
        <f>IF($A40="","",IFERROR(INDEX(Movements!$H$2:$H$400,MATCH(8,Movements!$N$2:$N$400,0)),""))</f>
      </c>
      <c r="H40">
        <f>IF($A40="","",IFERROR(INDEX(Movements!$L$2:$L$400,MATCH(8,Movements!$N$2:$N$400,0))&amp;"",""))</f>
      </c>
      <c r="I40">
        <f>IF($A40="","",IFERROR(INDEX(Movements!$M$2:$M$400,MATCH(8,Movements!$N$2:$N$400,0))&amp;"",""))</f>
      </c>
    </row>
    <row r="41">
      <c r="A41">
        <f>IF(ISNA(MATCH(9,Movements!$N$2:$N$400,0)),"",9)</f>
      </c>
      <c r="B41" s="11">
        <f>IF($A41="","",INDEX(Movements!$A$2:$A$400,MATCH(9,Movements!$N$2:$N$400,0)))</f>
      </c>
      <c r="C41">
        <f>IF($A41="","",IFERROR(INDEX(Movements!$C$2:$C$400,MATCH(9,Movements!$N$2:$N$400,0))&amp;"",""))</f>
      </c>
      <c r="D41">
        <f>IF($A41="","",IFERROR(INDEX(Movements!$D$2:$D$400,MATCH(9,Movements!$N$2:$N$400,0))&amp;"",""))</f>
      </c>
      <c r="E41">
        <f>IF($A41="","",IFERROR(INDEX(Movements!$F$2:$F$400,MATCH(9,Movements!$N$2:$N$400,0))&amp;"",""))</f>
      </c>
      <c r="F41" s="3">
        <f>IF($A41="","",IFERROR(INDEX(Movements!$G$2:$G$400,MATCH(9,Movements!$N$2:$N$400,0)),""))</f>
      </c>
      <c r="G41" s="3">
        <f>IF($A41="","",IFERROR(INDEX(Movements!$H$2:$H$400,MATCH(9,Movements!$N$2:$N$400,0)),""))</f>
      </c>
      <c r="H41">
        <f>IF($A41="","",IFERROR(INDEX(Movements!$L$2:$L$400,MATCH(9,Movements!$N$2:$N$400,0))&amp;"",""))</f>
      </c>
      <c r="I41">
        <f>IF($A41="","",IFERROR(INDEX(Movements!$M$2:$M$400,MATCH(9,Movements!$N$2:$N$400,0))&amp;"",""))</f>
      </c>
    </row>
    <row r="42">
      <c r="A42">
        <f>IF(ISNA(MATCH(10,Movements!$N$2:$N$400,0)),"",10)</f>
      </c>
      <c r="B42" s="11">
        <f>IF($A42="","",INDEX(Movements!$A$2:$A$400,MATCH(10,Movements!$N$2:$N$400,0)))</f>
      </c>
      <c r="C42">
        <f>IF($A42="","",IFERROR(INDEX(Movements!$C$2:$C$400,MATCH(10,Movements!$N$2:$N$400,0))&amp;"",""))</f>
      </c>
      <c r="D42">
        <f>IF($A42="","",IFERROR(INDEX(Movements!$D$2:$D$400,MATCH(10,Movements!$N$2:$N$400,0))&amp;"",""))</f>
      </c>
      <c r="E42">
        <f>IF($A42="","",IFERROR(INDEX(Movements!$F$2:$F$400,MATCH(10,Movements!$N$2:$N$400,0))&amp;"",""))</f>
      </c>
      <c r="F42" s="3">
        <f>IF($A42="","",IFERROR(INDEX(Movements!$G$2:$G$400,MATCH(10,Movements!$N$2:$N$400,0)),""))</f>
      </c>
      <c r="G42" s="3">
        <f>IF($A42="","",IFERROR(INDEX(Movements!$H$2:$H$400,MATCH(10,Movements!$N$2:$N$400,0)),""))</f>
      </c>
      <c r="H42">
        <f>IF($A42="","",IFERROR(INDEX(Movements!$L$2:$L$400,MATCH(10,Movements!$N$2:$N$400,0))&amp;"",""))</f>
      </c>
      <c r="I42">
        <f>IF($A42="","",IFERROR(INDEX(Movements!$M$2:$M$400,MATCH(10,Movements!$N$2:$N$400,0))&amp;"",""))</f>
      </c>
    </row>
    <row r="43">
      <c r="A43">
        <f>IF(ISNA(MATCH(11,Movements!$N$2:$N$400,0)),"",11)</f>
      </c>
      <c r="B43" s="11">
        <f>IF($A43="","",INDEX(Movements!$A$2:$A$400,MATCH(11,Movements!$N$2:$N$400,0)))</f>
      </c>
      <c r="C43">
        <f>IF($A43="","",IFERROR(INDEX(Movements!$C$2:$C$400,MATCH(11,Movements!$N$2:$N$400,0))&amp;"",""))</f>
      </c>
      <c r="D43">
        <f>IF($A43="","",IFERROR(INDEX(Movements!$D$2:$D$400,MATCH(11,Movements!$N$2:$N$400,0))&amp;"",""))</f>
      </c>
      <c r="E43">
        <f>IF($A43="","",IFERROR(INDEX(Movements!$F$2:$F$400,MATCH(11,Movements!$N$2:$N$400,0))&amp;"",""))</f>
      </c>
      <c r="F43" s="3">
        <f>IF($A43="","",IFERROR(INDEX(Movements!$G$2:$G$400,MATCH(11,Movements!$N$2:$N$400,0)),""))</f>
      </c>
      <c r="G43" s="3">
        <f>IF($A43="","",IFERROR(INDEX(Movements!$H$2:$H$400,MATCH(11,Movements!$N$2:$N$400,0)),""))</f>
      </c>
      <c r="H43">
        <f>IF($A43="","",IFERROR(INDEX(Movements!$L$2:$L$400,MATCH(11,Movements!$N$2:$N$400,0))&amp;"",""))</f>
      </c>
      <c r="I43">
        <f>IF($A43="","",IFERROR(INDEX(Movements!$M$2:$M$400,MATCH(11,Movements!$N$2:$N$400,0))&amp;"",""))</f>
      </c>
    </row>
    <row r="44">
      <c r="A44">
        <f>IF(ISNA(MATCH(12,Movements!$N$2:$N$400,0)),"",12)</f>
      </c>
      <c r="B44" s="11">
        <f>IF($A44="","",INDEX(Movements!$A$2:$A$400,MATCH(12,Movements!$N$2:$N$400,0)))</f>
      </c>
      <c r="C44">
        <f>IF($A44="","",IFERROR(INDEX(Movements!$C$2:$C$400,MATCH(12,Movements!$N$2:$N$400,0))&amp;"",""))</f>
      </c>
      <c r="D44">
        <f>IF($A44="","",IFERROR(INDEX(Movements!$D$2:$D$400,MATCH(12,Movements!$N$2:$N$400,0))&amp;"",""))</f>
      </c>
      <c r="E44">
        <f>IF($A44="","",IFERROR(INDEX(Movements!$F$2:$F$400,MATCH(12,Movements!$N$2:$N$400,0))&amp;"",""))</f>
      </c>
      <c r="F44" s="3">
        <f>IF($A44="","",IFERROR(INDEX(Movements!$G$2:$G$400,MATCH(12,Movements!$N$2:$N$400,0)),""))</f>
      </c>
      <c r="G44" s="3">
        <f>IF($A44="","",IFERROR(INDEX(Movements!$H$2:$H$400,MATCH(12,Movements!$N$2:$N$400,0)),""))</f>
      </c>
      <c r="H44">
        <f>IF($A44="","",IFERROR(INDEX(Movements!$L$2:$L$400,MATCH(12,Movements!$N$2:$N$400,0))&amp;"",""))</f>
      </c>
      <c r="I44">
        <f>IF($A44="","",IFERROR(INDEX(Movements!$M$2:$M$400,MATCH(12,Movements!$N$2:$N$400,0))&amp;"",""))</f>
      </c>
    </row>
  </sheetData>
  <conditionalFormatting sqref="H12:H29">
    <cfRule type="cellIs" priority="1" operator="greaterThan" dxfId="0">
      <formula>0</formula>
    </cfRule>
  </conditionalFormatting>
  <conditionalFormatting sqref="G12:G29">
    <cfRule type="cellIs" priority="2" operator="equal" dxfId="1">
      <formula>"NEGATIVE"</formula>
    </cfRule>
    <cfRule type="cellIs" priority="3" operator="equal" dxfId="0">
      <formula>"BELOW REORDER"</formula>
    </cfRule>
  </conditionalFormatting>
  <dataValidations count="1">
    <dataValidation sqref="C4" showDropDown="0" showInputMessage="0" showErrorMessage="0" allowBlank="0" type="list">
      <formula1>"12/10/2026,19/10/2026"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1" workbookViewId="0">
      <selection activeCell="A1" sqref="A1"/>
    </sheetView>
  </sheetViews>
  <sheetFormatPr baseColWidth="8" defaultRowHeight="15"/>
  <cols>
    <col width="58" customWidth="1" min="1" max="1"/>
    <col width="14" customWidth="1" min="2" max="2"/>
    <col width="14" customWidth="1" min="3" max="3"/>
    <col width="12" customWidth="1" min="4" max="4"/>
  </cols>
  <sheetData>
    <row r="1">
      <c r="A1" s="1" t="inlineStr">
        <is>
          <t>Check</t>
        </is>
      </c>
      <c r="B1" s="1" t="inlineStr">
        <is>
          <t>Value</t>
        </is>
      </c>
      <c r="C1" s="1" t="inlineStr">
        <is>
          <t>Expected</t>
        </is>
      </c>
      <c r="D1" s="1" t="inlineStr">
        <is>
          <t>Result</t>
        </is>
      </c>
    </row>
    <row r="2">
      <c r="A2" t="inlineStr">
        <is>
          <t>Opening + all in - all out = total on hand (Balance), unknown-SKU rows excluded</t>
        </is>
      </c>
      <c r="B2">
        <f>SUM(Items!D2:E19)+SUM(Movements!$G$2:$G$400)-SUM(Movements!$H$2:$H$400)+SUMIFS(Movements!$H$2:$H$400,Movements!$L$2:$L$400,"UNKNOWN SKU")-SUMIFS(Movements!$G$2:$G$400,Movements!$L$2:$L$400,"UNKNOWN SKU")</f>
        <v>5703</v>
      </c>
      <c r="C2">
        <f>Balance!L22</f>
        <v>5703</v>
      </c>
      <c r="D2" t="str">
        <f>IF(B2=C2*1,"PASS","CHECK")</f>
        <v>PASS</v>
      </c>
    </row>
    <row r="3">
      <c r="A3" t="inlineStr">
        <is>
          <t>Units moved between locations net to zero (TRF in = TRF out), excl. unmatched</t>
        </is>
      </c>
      <c r="B3">
        <f>SUMIFS(Movements!$G$2:$G$400,Movements!$B$2:$B$400,"TRF")</f>
        <v>160</v>
      </c>
      <c r="C3">
        <f>SUMIFS(Movements!$H$2:$H$400,Movements!$B$2:$B$400,"TRF")-SUMIFS(Movements!$H$2:$H$400,Movements!$L$2:$L$400,"TRANSFER UNMATCHED")</f>
        <v>160</v>
      </c>
      <c r="D3" t="str">
        <f>IF(B3=C3*1,"PASS","CHECK")</f>
        <v>PASS</v>
      </c>
    </row>
    <row r="4">
      <c r="A4" t="inlineStr">
        <is>
          <t>Every movement row has a date</t>
        </is>
      </c>
      <c r="B4">
        <f>COUNTBLANK(Movements!A2:A91)</f>
        <v>0</v>
      </c>
      <c r="C4" t="inlineStr">
        <is>
          <t>0</t>
        </is>
      </c>
      <c r="D4" t="str">
        <f>IF(B4=C4*1,"PASS","CHECK")</f>
        <v>PASS</v>
      </c>
    </row>
    <row r="5">
      <c r="A5" t="inlineStr">
        <is>
          <t>Every row has qty in OR qty out (not both, not neither)</t>
        </is>
      </c>
      <c r="B5">
        <f>SUMPRODUCT(((Movements!G2:G91&gt;0)+(Movements!H2:H91&gt;0)&lt;&gt;1)*1)</f>
        <v>0</v>
      </c>
      <c r="C5" t="inlineStr">
        <is>
          <t>0</t>
        </is>
      </c>
      <c r="D5" t="str">
        <f>IF(B5=C5*1,"PASS","CHECK")</f>
        <v>PASS</v>
      </c>
    </row>
    <row r="6">
      <c r="A6" t="inlineStr">
        <is>
          <t>Flagged rows on Movements = flags counted on Balance + unknown-SKU rows</t>
        </is>
      </c>
      <c r="B6">
        <f>COUNTIFS(Movements!L2:L400,"&lt;&gt;OK",Movements!A2:A400,"&lt;&gt;")</f>
        <v>7</v>
      </c>
      <c r="C6">
        <f>SUM(Balance!O4:O21)+COUNTIF(Movements!L2:L400,"UNKNOWN SKU")</f>
        <v>7</v>
      </c>
      <c r="D6" t="str">
        <f>IF(B6=C6*1,"PASS","CHECK")</f>
        <v>PASS</v>
      </c>
    </row>
    <row r="7">
      <c r="A7" t="inlineStr">
        <is>
          <t>Weekly report closing = Balance total on hand (latest week only)</t>
        </is>
      </c>
      <c r="B7">
        <f>IF(Weekly_Report!C4=MAX(Movements!K2:K91),SUM(Weekly_Report!F12:F29),Balance!L22)</f>
        <v>5703</v>
      </c>
      <c r="C7">
        <f>Balance!L22</f>
        <v>5703</v>
      </c>
      <c r="D7" t="str">
        <f>IF(B7=C7*1,"PASS","CHECK")</f>
        <v>PASS</v>
      </c>
    </row>
    <row r="9">
      <c r="A9" t="inlineStr">
        <is>
          <t>Movement rows</t>
        </is>
      </c>
      <c r="B9">
        <f>COUNTA(Movements!A2:A400)</f>
        <v>90</v>
      </c>
    </row>
    <row r="10">
      <c r="A10" t="inlineStr">
        <is>
          <t>Rows flagged</t>
        </is>
      </c>
      <c r="B10">
        <f>COUNTIFS(Movements!L2:L400,"&lt;&gt;OK",Movements!A2:A400,"&lt;&gt;")</f>
        <v>7</v>
      </c>
    </row>
  </sheetData>
  <conditionalFormatting sqref="D2:D7">
    <cfRule type="cellIs" priority="1" operator="equal" dxfId="2">
      <formula>"PASS"</formula>
    </cfRule>
    <cfRule type="cellIs" priority="2" operator="equal" dxfId="1">
      <formula>"CHECK"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2026-10-27T07:10:34Z</dcterms:created>
  <dcterms:modified xmlns:dcterms="http://purl.org/dc/terms/" xmlns:xsi="http://www.w3.org/2001/XMLSchema-instance" xsi:type="dcterms:W3CDTF">2026-10-27T07:10:34Z</dcterms:modified>
</cp:coreProperties>
</file>